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xr:revisionPtr revIDLastSave="506" documentId="8_{B32B49E4-CE8B-44DB-B697-6D86BCB35A3F}" xr6:coauthVersionLast="47" xr6:coauthVersionMax="47" xr10:uidLastSave="{51F52B0E-2CA7-4D82-92E3-F614C1026F92}"/>
  <bookViews>
    <workbookView xWindow="-108" yWindow="-108" windowWidth="23256" windowHeight="12720" tabRatio="919" xr2:uid="{00000000-000D-0000-FFFF-FFFF00000000}"/>
  </bookViews>
  <sheets>
    <sheet name="1. Entry- en exittarieven" sheetId="21" r:id="rId1"/>
    <sheet name="Input --&gt;" sheetId="13" r:id="rId2"/>
    <sheet name="2. Parameters" sheetId="24" r:id="rId3"/>
    <sheet name="3. Input nacalculaties" sheetId="59" r:id="rId4"/>
    <sheet name="4. Input capaciteit" sheetId="35" r:id="rId5"/>
    <sheet name="Berekeningen --&gt;" sheetId="15" r:id="rId6"/>
    <sheet name="5. Nacalculaties" sheetId="25" r:id="rId7"/>
    <sheet name="6. Toegestane inkomsten" sheetId="32" r:id="rId8"/>
    <sheet name="7. RPM" sheetId="34" r:id="rId9"/>
    <sheet name="8. Entry- en exittarieven " sheetId="3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[1]ORI!#REF!</definedName>
    <definedName name="afd">'[2]PwC - Afdelingen'!$A$2:$B$109</definedName>
    <definedName name="afdtennet">'[2]TenneT - Afdelingen'!$D$3:$E$70</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d">#REF!</definedName>
    <definedName name="DF_GRID_3">[1]ORI!#REF!</definedName>
    <definedName name="ee">[1]ORI!#REF!</definedName>
    <definedName name="eeee">'[7]Toegestane Omzet'!#REF!</definedName>
    <definedName name="Eigenaar">[3]Lijsten!$G$2:$G$11</definedName>
    <definedName name="eur">#REF!</definedName>
    <definedName name="factor">#REF!</definedName>
    <definedName name="fik">[8]cockpit!$B$9</definedName>
    <definedName name="Financiering">[3]Lijsten!$P$2:$P$9</definedName>
    <definedName name="Jaar">[3]Lijsten!$A$2:$A$19</definedName>
    <definedName name="Kwartaal">[3]Lijsten!$B$2:$B$5</definedName>
    <definedName name="METHODE">#REF!</definedName>
    <definedName name="Naam">[9]Lijsten!$B$3:$B$10</definedName>
    <definedName name="NAAM_NE">'[7]Toegestane Omzet'!$M$1</definedName>
    <definedName name="NAAM_VOL">[4]Adresgegevens!$D$8</definedName>
    <definedName name="omzet_2000_aanpas_kolom">#REF!</definedName>
    <definedName name="omzet_2000_kolom">#REF!</definedName>
    <definedName name="omzet_2001_kolom">#REF!</definedName>
    <definedName name="PB">[4]Adresgegevens!$D$9</definedName>
    <definedName name="PC">[4]Adresgegevens!$D$10</definedName>
    <definedName name="PGcode">[3]Lijsten!$L$2:$L$26</definedName>
    <definedName name="PLAATS">[4]Adresgegevens!$D$11</definedName>
    <definedName name="PR_ME_2000">'[7]Toegestane Omzet'!#REF!</definedName>
    <definedName name="Projecteigenaar">[3]Lijsten!$H$2:$H$25</definedName>
    <definedName name="Projectleider">[3]Lijsten!$J$2:$J$15</definedName>
    <definedName name="Regio">[3]Lijsten!$F$2:$F$7</definedName>
    <definedName name="required_x">#REF!</definedName>
    <definedName name="s">[10]Data!#REF!</definedName>
    <definedName name="SAPBEXhrIndnt" hidden="1">"Wide"</definedName>
    <definedName name="SAPsysID" hidden="1">"708C5W7SBKP804JT78WJ0JNKI"</definedName>
    <definedName name="SAPwbID" hidden="1">"ARS"</definedName>
    <definedName name="Spanning">[3]Lijsten!$C$2:$C$6</definedName>
    <definedName name="Status">[3]Lijsten!$E$2:$E$13</definedName>
    <definedName name="tarief_factor">#REF!</definedName>
    <definedName name="test">#REF!</definedName>
    <definedName name="TEST0">#REF!</definedName>
    <definedName name="TESTHKEY">#REF!</definedName>
    <definedName name="TESTKEYS">#REF!</definedName>
    <definedName name="TESTVKEY">#REF!</definedName>
    <definedName name="TIPROJ">'[2]PwC - TI-projecten'!$B$1:$E$303</definedName>
    <definedName name="TTTI">'[2]TenneT - Projecten TI'!$B$2:$G$221</definedName>
    <definedName name="VerbruikstarRC">[11]Tarievenvoorstel!#REF!</definedName>
    <definedName name="wac">[10]Data!#REF!</definedName>
    <definedName name="wacc">[10]Data!#REF!</definedName>
    <definedName name="wacc_exc_tax">[10]constants!$E$3</definedName>
    <definedName name="wacc_inc_tax">[10]constants!$E$4</definedName>
    <definedName name="WvD">'[2]TenneT - WvD'!$A$2:$A$274</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34" l="1"/>
  <c r="F77" i="36" l="1"/>
  <c r="F78" i="36" l="1"/>
  <c r="F79" i="36"/>
  <c r="I39" i="25"/>
  <c r="I18" i="25"/>
  <c r="I34" i="25"/>
  <c r="I17" i="25"/>
  <c r="I16" i="25"/>
  <c r="I24" i="25"/>
  <c r="I29" i="25"/>
  <c r="Q20" i="24" l="1"/>
  <c r="O18" i="24"/>
  <c r="N17" i="24"/>
  <c r="O17" i="24" s="1"/>
  <c r="M16" i="24"/>
  <c r="N16" i="24" s="1"/>
  <c r="O16" i="24" s="1"/>
  <c r="L15" i="24"/>
  <c r="M15" i="24" s="1"/>
  <c r="N15" i="24" s="1"/>
  <c r="O15" i="24" s="1"/>
  <c r="P19" i="24"/>
  <c r="Q19" i="24" s="1"/>
  <c r="P16" i="24" l="1"/>
  <c r="Q16" i="24" s="1"/>
  <c r="P18" i="24"/>
  <c r="Q18" i="24" s="1"/>
  <c r="P15" i="24"/>
  <c r="Q15" i="24" s="1"/>
  <c r="P17" i="24"/>
  <c r="Q17" i="24" s="1"/>
  <c r="I19" i="25" l="1"/>
  <c r="K18" i="34"/>
  <c r="F22" i="34"/>
  <c r="K16" i="34" l="1"/>
  <c r="K15" i="34"/>
  <c r="K13" i="34"/>
  <c r="K12" i="34"/>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I12" i="25" l="1"/>
  <c r="F96" i="24" l="1"/>
  <c r="F69" i="36" s="1"/>
  <c r="F95" i="24"/>
  <c r="F68" i="36" s="1"/>
  <c r="F67" i="36"/>
  <c r="F93" i="24"/>
  <c r="F66" i="36" s="1"/>
  <c r="F26" i="24"/>
  <c r="F26" i="34" s="1"/>
  <c r="F74" i="36" l="1"/>
  <c r="F73" i="36"/>
  <c r="J12" i="25"/>
  <c r="K12" i="25" l="1"/>
  <c r="L12" i="25"/>
  <c r="K40" i="25" l="1"/>
  <c r="K15" i="32" s="1"/>
  <c r="K35" i="25"/>
  <c r="K14" i="32" s="1"/>
  <c r="K25" i="25"/>
  <c r="K12" i="32" s="1"/>
  <c r="K30" i="25"/>
  <c r="K13" i="32" s="1"/>
  <c r="K20" i="25"/>
  <c r="K11" i="32" s="1"/>
  <c r="K19" i="32" l="1"/>
  <c r="K30" i="34" s="1"/>
  <c r="K32" i="34" s="1"/>
  <c r="K33" i="34" l="1"/>
  <c r="K38" i="34" l="1"/>
  <c r="K50" i="34"/>
  <c r="K43" i="34" l="1"/>
  <c r="F84" i="36" s="1"/>
  <c r="K44" i="34"/>
  <c r="K42" i="34"/>
  <c r="K116" i="36"/>
  <c r="K39" i="21" s="1"/>
  <c r="J118" i="36"/>
  <c r="J41" i="21" s="1"/>
  <c r="J114" i="36"/>
  <c r="J37" i="21" s="1"/>
  <c r="K122" i="36"/>
  <c r="K45" i="21" s="1"/>
  <c r="H111" i="36"/>
  <c r="H34" i="21" s="1"/>
  <c r="K112" i="36"/>
  <c r="K35" i="21" s="1"/>
  <c r="J111" i="36"/>
  <c r="J34" i="21" s="1"/>
  <c r="L111" i="36"/>
  <c r="L34" i="21" s="1"/>
  <c r="K113" i="36"/>
  <c r="K36" i="21" s="1"/>
  <c r="I114" i="36"/>
  <c r="I37" i="21" s="1"/>
  <c r="K119" i="36"/>
  <c r="K42" i="21" s="1"/>
  <c r="L120" i="36"/>
  <c r="L43" i="21" s="1"/>
  <c r="L112" i="36"/>
  <c r="L35" i="21" s="1"/>
  <c r="J116" i="36"/>
  <c r="J39" i="21" s="1"/>
  <c r="J122" i="36"/>
  <c r="J45" i="21" s="1"/>
  <c r="K120" i="36"/>
  <c r="K43" i="21" s="1"/>
  <c r="L118" i="36"/>
  <c r="L41" i="21" s="1"/>
  <c r="L119" i="36"/>
  <c r="L42" i="21" s="1"/>
  <c r="I120" i="36"/>
  <c r="I43" i="21" s="1"/>
  <c r="K114" i="36"/>
  <c r="K37" i="21" s="1"/>
  <c r="K111" i="36"/>
  <c r="K34" i="21" s="1"/>
  <c r="L114" i="36"/>
  <c r="L37" i="21" s="1"/>
  <c r="I111" i="36"/>
  <c r="I34" i="21" s="1"/>
  <c r="K115" i="36"/>
  <c r="K38" i="21" s="1"/>
  <c r="J119" i="36"/>
  <c r="J42" i="21" s="1"/>
  <c r="J117" i="36"/>
  <c r="J40" i="21" s="1"/>
  <c r="L121" i="36"/>
  <c r="L44" i="21" s="1"/>
  <c r="L117" i="36"/>
  <c r="L40" i="21" s="1"/>
  <c r="J115" i="36"/>
  <c r="J38" i="21" s="1"/>
  <c r="J121" i="36"/>
  <c r="J44" i="21" s="1"/>
  <c r="J112" i="36"/>
  <c r="J35" i="21" s="1"/>
  <c r="K118" i="36"/>
  <c r="K41" i="21" s="1"/>
  <c r="J120" i="36"/>
  <c r="J43" i="21" s="1"/>
  <c r="K117" i="36"/>
  <c r="K40" i="21" s="1"/>
  <c r="K121" i="36"/>
  <c r="K44" i="21" s="1"/>
  <c r="I117" i="36"/>
  <c r="I40" i="21" s="1"/>
  <c r="J113" i="36"/>
  <c r="J36" i="21" s="1"/>
  <c r="L122" i="36"/>
  <c r="L45" i="21" s="1"/>
  <c r="L115" i="36"/>
  <c r="L38" i="21" s="1"/>
  <c r="F85" i="36"/>
  <c r="K46" i="34"/>
  <c r="F87" i="36" s="1"/>
  <c r="K45" i="34"/>
  <c r="F86" i="36" s="1"/>
  <c r="N129" i="36" l="1"/>
  <c r="O129" i="36"/>
  <c r="O135" i="36"/>
  <c r="O138" i="36"/>
  <c r="O60" i="21" s="1"/>
  <c r="Q138" i="36"/>
  <c r="Q140" i="36"/>
  <c r="P133" i="36"/>
  <c r="P55" i="21" s="1"/>
  <c r="R130" i="36"/>
  <c r="R52" i="21" s="1"/>
  <c r="R136" i="36"/>
  <c r="R138" i="36"/>
  <c r="Q132" i="36"/>
  <c r="Q54" i="21" s="1"/>
  <c r="P132" i="36"/>
  <c r="P54" i="21" s="1"/>
  <c r="Q133" i="36"/>
  <c r="P139" i="36"/>
  <c r="Q130" i="36"/>
  <c r="Q52" i="21" s="1"/>
  <c r="Q139" i="36"/>
  <c r="Q61" i="21" s="1"/>
  <c r="Q129" i="36"/>
  <c r="P131" i="36"/>
  <c r="P53" i="21" s="1"/>
  <c r="Q137" i="36"/>
  <c r="Q59" i="21" s="1"/>
  <c r="P135" i="36"/>
  <c r="P57" i="21" s="1"/>
  <c r="R135" i="36"/>
  <c r="R132" i="36"/>
  <c r="P136" i="36"/>
  <c r="P58" i="21" s="1"/>
  <c r="P137" i="36"/>
  <c r="P59" i="21" s="1"/>
  <c r="Q134" i="36"/>
  <c r="Q131" i="36"/>
  <c r="Q53" i="21" s="1"/>
  <c r="P140" i="36"/>
  <c r="P62" i="21" s="1"/>
  <c r="P129" i="36"/>
  <c r="P51" i="21" s="1"/>
  <c r="O132" i="36"/>
  <c r="R131" i="36"/>
  <c r="R53" i="21" s="1"/>
  <c r="R139" i="36"/>
  <c r="R61" i="21" s="1"/>
  <c r="R137" i="36"/>
  <c r="R59" i="21" s="1"/>
  <c r="R133" i="36"/>
  <c r="R129" i="36"/>
  <c r="R51" i="21" s="1"/>
  <c r="R140" i="36"/>
  <c r="R62" i="21" s="1"/>
  <c r="R134" i="36"/>
  <c r="R56" i="21" s="1"/>
  <c r="Q136" i="36"/>
  <c r="P138" i="36"/>
  <c r="Q135" i="36"/>
  <c r="Q57" i="21" s="1"/>
  <c r="P134" i="36"/>
  <c r="P56" i="21" s="1"/>
  <c r="P130" i="36"/>
  <c r="N146" i="36"/>
  <c r="O149" i="36"/>
  <c r="O71" i="21" s="1"/>
  <c r="O155" i="36"/>
  <c r="O77" i="21" s="1"/>
  <c r="O152" i="36"/>
  <c r="P152" i="36"/>
  <c r="P74" i="21" s="1"/>
  <c r="Q151" i="36"/>
  <c r="Q73" i="21" s="1"/>
  <c r="P147" i="36"/>
  <c r="P69" i="21" s="1"/>
  <c r="P157" i="36"/>
  <c r="P79" i="21" s="1"/>
  <c r="R148" i="36"/>
  <c r="R70" i="21" s="1"/>
  <c r="O146" i="36"/>
  <c r="O68" i="21" s="1"/>
  <c r="Q146" i="36"/>
  <c r="Q68" i="21" s="1"/>
  <c r="Q155" i="36"/>
  <c r="Q77" i="21" s="1"/>
  <c r="P156" i="36"/>
  <c r="P78" i="21" s="1"/>
  <c r="Q148" i="36"/>
  <c r="Q70" i="21" s="1"/>
  <c r="R157" i="36"/>
  <c r="R79" i="21" s="1"/>
  <c r="R153" i="36"/>
  <c r="R75" i="21" s="1"/>
  <c r="R154" i="36"/>
  <c r="R76" i="21" s="1"/>
  <c r="P154" i="36"/>
  <c r="P76" i="21" s="1"/>
  <c r="R147" i="36"/>
  <c r="R69" i="21" s="1"/>
  <c r="R156" i="36"/>
  <c r="R78" i="21" s="1"/>
  <c r="Q149" i="36"/>
  <c r="Q71" i="21" s="1"/>
  <c r="P148" i="36"/>
  <c r="P70" i="21" s="1"/>
  <c r="P149" i="36"/>
  <c r="P71" i="21" s="1"/>
  <c r="Q157" i="36"/>
  <c r="Q79" i="21" s="1"/>
  <c r="Q156" i="36"/>
  <c r="Q78" i="21" s="1"/>
  <c r="P150" i="36"/>
  <c r="P72" i="21" s="1"/>
  <c r="R150" i="36"/>
  <c r="R72" i="21" s="1"/>
  <c r="R151" i="36"/>
  <c r="R73" i="21" s="1"/>
  <c r="R149" i="36"/>
  <c r="R71" i="21" s="1"/>
  <c r="R152" i="36"/>
  <c r="R74" i="21" s="1"/>
  <c r="R155" i="36"/>
  <c r="R77" i="21" s="1"/>
  <c r="Q154" i="36"/>
  <c r="Q76" i="21" s="1"/>
  <c r="P153" i="36"/>
  <c r="P75" i="21" s="1"/>
  <c r="Q152" i="36"/>
  <c r="Q74" i="21" s="1"/>
  <c r="Q150" i="36"/>
  <c r="Q72" i="21" s="1"/>
  <c r="Q153" i="36"/>
  <c r="Q75" i="21" s="1"/>
  <c r="P155" i="36"/>
  <c r="P77" i="21" s="1"/>
  <c r="P146" i="36"/>
  <c r="P68" i="21" s="1"/>
  <c r="P151" i="36"/>
  <c r="P73" i="21" s="1"/>
  <c r="Q147" i="36"/>
  <c r="Q69" i="21" s="1"/>
  <c r="R146" i="36"/>
  <c r="R68" i="21" s="1"/>
  <c r="U129" i="36"/>
  <c r="U51" i="21" s="1"/>
  <c r="U132" i="36"/>
  <c r="U54" i="21" s="1"/>
  <c r="V134" i="36"/>
  <c r="V131" i="36"/>
  <c r="V53" i="21" s="1"/>
  <c r="W132" i="36"/>
  <c r="W54" i="21" s="1"/>
  <c r="V140" i="36"/>
  <c r="V62" i="21" s="1"/>
  <c r="W138" i="36"/>
  <c r="V133" i="36"/>
  <c r="V55" i="21" s="1"/>
  <c r="W140" i="36"/>
  <c r="W62" i="21" s="1"/>
  <c r="V138" i="36"/>
  <c r="V60" i="21" s="1"/>
  <c r="W131" i="36"/>
  <c r="X133" i="36"/>
  <c r="X55" i="21" s="1"/>
  <c r="X136" i="36"/>
  <c r="X58" i="21" s="1"/>
  <c r="X135" i="36"/>
  <c r="X57" i="21" s="1"/>
  <c r="X134" i="36"/>
  <c r="W137" i="36"/>
  <c r="V132" i="36"/>
  <c r="V54" i="21" s="1"/>
  <c r="W135" i="36"/>
  <c r="W57" i="21" s="1"/>
  <c r="W130" i="36"/>
  <c r="W52" i="21" s="1"/>
  <c r="V136" i="36"/>
  <c r="V58" i="21" s="1"/>
  <c r="W129" i="36"/>
  <c r="W51" i="21" s="1"/>
  <c r="V129" i="36"/>
  <c r="V51" i="21" s="1"/>
  <c r="W136" i="36"/>
  <c r="W58" i="21" s="1"/>
  <c r="V139" i="36"/>
  <c r="V61" i="21" s="1"/>
  <c r="U138" i="36"/>
  <c r="U60" i="21" s="1"/>
  <c r="X140" i="36"/>
  <c r="X62" i="21" s="1"/>
  <c r="X138" i="36"/>
  <c r="X60" i="21" s="1"/>
  <c r="X129" i="36"/>
  <c r="X51" i="21" s="1"/>
  <c r="X130" i="36"/>
  <c r="X52" i="21" s="1"/>
  <c r="X139" i="36"/>
  <c r="X61" i="21" s="1"/>
  <c r="U135" i="36"/>
  <c r="U57" i="21" s="1"/>
  <c r="V135" i="36"/>
  <c r="V57" i="21" s="1"/>
  <c r="X131" i="36"/>
  <c r="X53" i="21" s="1"/>
  <c r="X132" i="36"/>
  <c r="X54" i="21" s="1"/>
  <c r="W133" i="36"/>
  <c r="W55" i="21" s="1"/>
  <c r="V137" i="36"/>
  <c r="V59" i="21" s="1"/>
  <c r="W134" i="36"/>
  <c r="W56" i="21" s="1"/>
  <c r="W139" i="36"/>
  <c r="W61" i="21" s="1"/>
  <c r="V130" i="36"/>
  <c r="V52" i="21" s="1"/>
  <c r="X137" i="36"/>
  <c r="X59" i="21" s="1"/>
  <c r="H146" i="36"/>
  <c r="H68" i="21" s="1"/>
  <c r="I152" i="36"/>
  <c r="I74" i="21" s="1"/>
  <c r="I155" i="36"/>
  <c r="I77" i="21" s="1"/>
  <c r="I149" i="36"/>
  <c r="I71" i="21" s="1"/>
  <c r="K157" i="36"/>
  <c r="K79" i="21" s="1"/>
  <c r="J147" i="36"/>
  <c r="J69" i="21" s="1"/>
  <c r="J154" i="36"/>
  <c r="J76" i="21" s="1"/>
  <c r="K150" i="36"/>
  <c r="K72" i="21" s="1"/>
  <c r="J153" i="36"/>
  <c r="J75" i="21" s="1"/>
  <c r="K155" i="36"/>
  <c r="K77" i="21" s="1"/>
  <c r="J152" i="36"/>
  <c r="J74" i="21" s="1"/>
  <c r="I146" i="36"/>
  <c r="I68" i="21" s="1"/>
  <c r="L154" i="36"/>
  <c r="L76" i="21" s="1"/>
  <c r="L153" i="36"/>
  <c r="L75" i="21" s="1"/>
  <c r="L152" i="36"/>
  <c r="L74" i="21" s="1"/>
  <c r="L146" i="36"/>
  <c r="L68" i="21" s="1"/>
  <c r="J157" i="36"/>
  <c r="J79" i="21" s="1"/>
  <c r="K146" i="36"/>
  <c r="K68" i="21" s="1"/>
  <c r="K156" i="36"/>
  <c r="K78" i="21" s="1"/>
  <c r="J146" i="36"/>
  <c r="J68" i="21" s="1"/>
  <c r="L156" i="36"/>
  <c r="L78" i="21" s="1"/>
  <c r="L155" i="36"/>
  <c r="L77" i="21" s="1"/>
  <c r="L148" i="36"/>
  <c r="L70" i="21" s="1"/>
  <c r="L150" i="36"/>
  <c r="L72" i="21" s="1"/>
  <c r="L147" i="36"/>
  <c r="L69" i="21" s="1"/>
  <c r="K152" i="36"/>
  <c r="K74" i="21" s="1"/>
  <c r="K148" i="36"/>
  <c r="K70" i="21" s="1"/>
  <c r="J156" i="36"/>
  <c r="J78" i="21" s="1"/>
  <c r="K153" i="36"/>
  <c r="K75" i="21" s="1"/>
  <c r="K151" i="36"/>
  <c r="K73" i="21" s="1"/>
  <c r="K147" i="36"/>
  <c r="K69" i="21" s="1"/>
  <c r="J151" i="36"/>
  <c r="J73" i="21" s="1"/>
  <c r="K149" i="36"/>
  <c r="K71" i="21" s="1"/>
  <c r="J149" i="36"/>
  <c r="J71" i="21" s="1"/>
  <c r="J155" i="36"/>
  <c r="J77" i="21" s="1"/>
  <c r="J148" i="36"/>
  <c r="J70" i="21" s="1"/>
  <c r="L151" i="36"/>
  <c r="L73" i="21" s="1"/>
  <c r="L157" i="36"/>
  <c r="L79" i="21" s="1"/>
  <c r="L149" i="36"/>
  <c r="L71" i="21" s="1"/>
  <c r="K154" i="36"/>
  <c r="K76" i="21" s="1"/>
  <c r="J150" i="36"/>
  <c r="J72" i="21" s="1"/>
  <c r="L116" i="36"/>
  <c r="L39" i="21" s="1"/>
  <c r="L113" i="36"/>
  <c r="L36" i="21" s="1"/>
  <c r="F83" i="36"/>
  <c r="K51" i="34"/>
  <c r="K53" i="34" s="1"/>
  <c r="T129" i="36"/>
  <c r="T51" i="21" s="1"/>
  <c r="U93" i="36"/>
  <c r="U17" i="21" s="1"/>
  <c r="X93" i="36"/>
  <c r="X17" i="21" s="1"/>
  <c r="R104" i="36"/>
  <c r="R28" i="21" s="1"/>
  <c r="R102" i="36"/>
  <c r="R26" i="21" s="1"/>
  <c r="Q98" i="36"/>
  <c r="Q22" i="21" s="1"/>
  <c r="P99" i="36"/>
  <c r="P23" i="21" s="1"/>
  <c r="R54" i="21"/>
  <c r="O93" i="36"/>
  <c r="O17" i="21" s="1"/>
  <c r="R99" i="36"/>
  <c r="R23" i="21" s="1"/>
  <c r="Q102" i="36"/>
  <c r="Q26" i="21" s="1"/>
  <c r="R97" i="36"/>
  <c r="R21" i="21" s="1"/>
  <c r="Q60" i="21"/>
  <c r="O99" i="36"/>
  <c r="O23" i="21" s="1"/>
  <c r="R101" i="36"/>
  <c r="R25" i="21" s="1"/>
  <c r="P60" i="21"/>
  <c r="Q101" i="36"/>
  <c r="Q25" i="21" s="1"/>
  <c r="Q96" i="36"/>
  <c r="Q20" i="21" s="1"/>
  <c r="O57" i="21"/>
  <c r="Q56" i="21"/>
  <c r="P102" i="36"/>
  <c r="P26" i="21" s="1"/>
  <c r="Q55" i="21"/>
  <c r="P61" i="21"/>
  <c r="Q97" i="36"/>
  <c r="Q21" i="21" s="1"/>
  <c r="R94" i="36"/>
  <c r="R18" i="21" s="1"/>
  <c r="N51" i="21"/>
  <c r="O96" i="36"/>
  <c r="O20" i="21" s="1"/>
  <c r="Q104" i="36"/>
  <c r="Q28" i="21" s="1"/>
  <c r="R98" i="36"/>
  <c r="R22" i="21" s="1"/>
  <c r="Q51" i="21"/>
  <c r="R122" i="36"/>
  <c r="R45" i="21" s="1"/>
  <c r="P116" i="36"/>
  <c r="P39" i="21" s="1"/>
  <c r="O74" i="21"/>
  <c r="O114" i="36"/>
  <c r="O37" i="21" s="1"/>
  <c r="O111" i="36"/>
  <c r="O34" i="21" s="1"/>
  <c r="P111" i="36"/>
  <c r="P34" i="21" s="1"/>
  <c r="P114" i="36"/>
  <c r="P37" i="21" s="1"/>
  <c r="P121" i="36"/>
  <c r="P44" i="21" s="1"/>
  <c r="R116" i="36"/>
  <c r="R39" i="21" s="1"/>
  <c r="N111" i="36"/>
  <c r="N34" i="21" s="1"/>
  <c r="P118" i="36"/>
  <c r="P41" i="21" s="1"/>
  <c r="Q120" i="36"/>
  <c r="Q43" i="21" s="1"/>
  <c r="Q116" i="36"/>
  <c r="Q39" i="21" s="1"/>
  <c r="Q113" i="36"/>
  <c r="Q36" i="21" s="1"/>
  <c r="Q111" i="36"/>
  <c r="Q34" i="21" s="1"/>
  <c r="Q122" i="36"/>
  <c r="Q45" i="21" s="1"/>
  <c r="R112" i="36"/>
  <c r="R35" i="21" s="1"/>
  <c r="P122" i="36"/>
  <c r="P45" i="21" s="1"/>
  <c r="R119" i="36"/>
  <c r="R42" i="21" s="1"/>
  <c r="O120" i="36"/>
  <c r="O43" i="21" s="1"/>
  <c r="Q118" i="36"/>
  <c r="Q41" i="21" s="1"/>
  <c r="Q121" i="36"/>
  <c r="Q44" i="21" s="1"/>
  <c r="P112" i="36"/>
  <c r="P35" i="21" s="1"/>
  <c r="O117" i="36"/>
  <c r="O40" i="21" s="1"/>
  <c r="Q114" i="36"/>
  <c r="Q37" i="21" s="1"/>
  <c r="R113" i="36"/>
  <c r="R36" i="21" s="1"/>
  <c r="Q115" i="36"/>
  <c r="Q38" i="21" s="1"/>
  <c r="Q119" i="36"/>
  <c r="Q42" i="21" s="1"/>
  <c r="R120" i="36"/>
  <c r="R43" i="21" s="1"/>
  <c r="P115" i="36"/>
  <c r="P38" i="21" s="1"/>
  <c r="Q117" i="36"/>
  <c r="Q40" i="21" s="1"/>
  <c r="P119" i="36"/>
  <c r="P42" i="21" s="1"/>
  <c r="Q112" i="36"/>
  <c r="Q35" i="21" s="1"/>
  <c r="R121" i="36"/>
  <c r="R44" i="21" s="1"/>
  <c r="N68" i="21"/>
  <c r="P120" i="36"/>
  <c r="P43" i="21" s="1"/>
  <c r="P113" i="36"/>
  <c r="P36" i="21" s="1"/>
  <c r="R115" i="36"/>
  <c r="R38" i="21" s="1"/>
  <c r="R114" i="36"/>
  <c r="R37" i="21" s="1"/>
  <c r="R111" i="36"/>
  <c r="R34" i="21" s="1"/>
  <c r="R118" i="36"/>
  <c r="R41" i="21" s="1"/>
  <c r="P117" i="36"/>
  <c r="P40" i="21" s="1"/>
  <c r="R117" i="36"/>
  <c r="R40" i="21" s="1"/>
  <c r="X100" i="36"/>
  <c r="X24" i="21" s="1"/>
  <c r="U102" i="36"/>
  <c r="U26" i="21" s="1"/>
  <c r="X94" i="36"/>
  <c r="X18" i="21" s="1"/>
  <c r="W97" i="36"/>
  <c r="W21" i="21" s="1"/>
  <c r="W95" i="36"/>
  <c r="W19" i="21" s="1"/>
  <c r="V93" i="36"/>
  <c r="V17" i="21" s="1"/>
  <c r="W98" i="36"/>
  <c r="W22" i="21" s="1"/>
  <c r="V101" i="36"/>
  <c r="V25" i="21" s="1"/>
  <c r="X99" i="36"/>
  <c r="X23" i="21" s="1"/>
  <c r="V56" i="21"/>
  <c r="X101" i="36"/>
  <c r="X25" i="21" s="1"/>
  <c r="W102" i="36"/>
  <c r="W26" i="21" s="1"/>
  <c r="V97" i="36"/>
  <c r="V21" i="21" s="1"/>
  <c r="W101" i="36"/>
  <c r="W25" i="21" s="1"/>
  <c r="V94" i="36"/>
  <c r="V18" i="21" s="1"/>
  <c r="V103" i="36"/>
  <c r="V27" i="21" s="1"/>
  <c r="W96" i="36"/>
  <c r="W20" i="21" s="1"/>
  <c r="X95" i="36"/>
  <c r="X19" i="21" s="1"/>
  <c r="X96" i="36"/>
  <c r="X20" i="21" s="1"/>
  <c r="W59" i="21"/>
  <c r="X103" i="36"/>
  <c r="X27" i="21" s="1"/>
  <c r="W53" i="21"/>
  <c r="V102" i="36"/>
  <c r="V26" i="21" s="1"/>
  <c r="W104" i="36"/>
  <c r="W28" i="21" s="1"/>
  <c r="W94" i="36"/>
  <c r="W18" i="21" s="1"/>
  <c r="W103" i="36"/>
  <c r="W27" i="21" s="1"/>
  <c r="W60" i="21"/>
  <c r="U99" i="36"/>
  <c r="U23" i="21" s="1"/>
  <c r="X97" i="36"/>
  <c r="X21" i="21" s="1"/>
  <c r="V95" i="36"/>
  <c r="V19" i="21" s="1"/>
  <c r="T93" i="36"/>
  <c r="T17" i="21" s="1"/>
  <c r="X56" i="21"/>
  <c r="V98" i="36"/>
  <c r="V22" i="21" s="1"/>
  <c r="U96" i="36"/>
  <c r="U20" i="21" s="1"/>
  <c r="V96" i="36"/>
  <c r="V20" i="21" s="1"/>
  <c r="W93" i="36"/>
  <c r="W17" i="21" s="1"/>
  <c r="V99" i="36"/>
  <c r="V23" i="21" s="1"/>
  <c r="X104" i="36"/>
  <c r="X28" i="21" s="1"/>
  <c r="X98" i="36"/>
  <c r="X22" i="21" s="1"/>
  <c r="X102" i="36"/>
  <c r="X26" i="21" s="1"/>
  <c r="V104" i="36"/>
  <c r="V28" i="21" s="1"/>
  <c r="V100" i="36"/>
  <c r="V24" i="21" s="1"/>
  <c r="W100" i="36"/>
  <c r="W24" i="21" s="1"/>
  <c r="W99" i="36"/>
  <c r="W23" i="21" s="1"/>
  <c r="Q95" i="36"/>
  <c r="Q19" i="21" s="1"/>
  <c r="P101" i="36"/>
  <c r="P25" i="21" s="1"/>
  <c r="O102" i="36"/>
  <c r="O26" i="21" s="1"/>
  <c r="P97" i="36"/>
  <c r="P21" i="21" s="1"/>
  <c r="R103" i="36"/>
  <c r="R27" i="21" s="1"/>
  <c r="P95" i="36"/>
  <c r="P19" i="21" s="1"/>
  <c r="R95" i="36"/>
  <c r="R19" i="21" s="1"/>
  <c r="Q103" i="36"/>
  <c r="Q27" i="21" s="1"/>
  <c r="P103" i="36"/>
  <c r="P27" i="21" s="1"/>
  <c r="Q62" i="21"/>
  <c r="Q100" i="36"/>
  <c r="Q24" i="21" s="1"/>
  <c r="P98" i="36"/>
  <c r="P22" i="21" s="1"/>
  <c r="P104" i="36"/>
  <c r="P28" i="21" s="1"/>
  <c r="R57" i="21"/>
  <c r="R60" i="21"/>
  <c r="R58" i="21"/>
  <c r="R93" i="36"/>
  <c r="R17" i="21" s="1"/>
  <c r="Q99" i="36"/>
  <c r="Q23" i="21" s="1"/>
  <c r="P96" i="36"/>
  <c r="P20" i="21" s="1"/>
  <c r="O51" i="21"/>
  <c r="Q94" i="36"/>
  <c r="Q18" i="21" s="1"/>
  <c r="O54" i="21"/>
  <c r="Q93" i="36"/>
  <c r="Q17" i="21" s="1"/>
  <c r="Q58" i="21"/>
  <c r="R96" i="36"/>
  <c r="R20" i="21" s="1"/>
  <c r="P93" i="36"/>
  <c r="P17" i="21" s="1"/>
  <c r="N93" i="36"/>
  <c r="N17" i="21" s="1"/>
  <c r="P52" i="21"/>
  <c r="P100" i="36"/>
  <c r="P24" i="21" s="1"/>
  <c r="R100" i="36"/>
  <c r="R24" i="21" s="1"/>
  <c r="R55" i="21"/>
  <c r="P94" i="36"/>
  <c r="P18" i="21" s="1"/>
  <c r="H129" i="36" l="1"/>
  <c r="K139" i="36"/>
  <c r="K61" i="21" s="1"/>
  <c r="K136" i="36"/>
  <c r="K58" i="21" s="1"/>
  <c r="J133" i="36"/>
  <c r="J55" i="21" s="1"/>
  <c r="K131" i="36"/>
  <c r="K132" i="36"/>
  <c r="K54" i="21" s="1"/>
  <c r="K130" i="36"/>
  <c r="K52" i="21" s="1"/>
  <c r="J140" i="36"/>
  <c r="J62" i="21" s="1"/>
  <c r="L129" i="36"/>
  <c r="L139" i="36"/>
  <c r="L61" i="21" s="1"/>
  <c r="L134" i="36"/>
  <c r="L56" i="21" s="1"/>
  <c r="L136" i="36"/>
  <c r="L58" i="21" s="1"/>
  <c r="L135" i="36"/>
  <c r="K137" i="36"/>
  <c r="K59" i="21" s="1"/>
  <c r="J131" i="36"/>
  <c r="J53" i="21" s="1"/>
  <c r="J130" i="36"/>
  <c r="J52" i="21" s="1"/>
  <c r="J134" i="36"/>
  <c r="L131" i="36"/>
  <c r="L53" i="21" s="1"/>
  <c r="I138" i="36"/>
  <c r="I60" i="21" s="1"/>
  <c r="I129" i="36"/>
  <c r="I51" i="21" s="1"/>
  <c r="L133" i="36"/>
  <c r="L138" i="36"/>
  <c r="L60" i="21" s="1"/>
  <c r="K134" i="36"/>
  <c r="K56" i="21" s="1"/>
  <c r="J129" i="36"/>
  <c r="J51" i="21" s="1"/>
  <c r="J135" i="36"/>
  <c r="J57" i="21" s="1"/>
  <c r="J132" i="36"/>
  <c r="J54" i="21" s="1"/>
  <c r="K135" i="36"/>
  <c r="K57" i="21" s="1"/>
  <c r="K129" i="36"/>
  <c r="K51" i="21" s="1"/>
  <c r="L132" i="36"/>
  <c r="I132" i="36"/>
  <c r="I54" i="21" s="1"/>
  <c r="L137" i="36"/>
  <c r="L59" i="21" s="1"/>
  <c r="L130" i="36"/>
  <c r="L52" i="21" s="1"/>
  <c r="L140" i="36"/>
  <c r="L62" i="21" s="1"/>
  <c r="J136" i="36"/>
  <c r="J139" i="36"/>
  <c r="K140" i="36"/>
  <c r="K62" i="21" s="1"/>
  <c r="J138" i="36"/>
  <c r="J60" i="21" s="1"/>
  <c r="J137" i="36"/>
  <c r="J59" i="21" s="1"/>
  <c r="K138" i="36"/>
  <c r="K60" i="21" s="1"/>
  <c r="K133" i="36"/>
  <c r="K55" i="21" s="1"/>
  <c r="I135" i="36"/>
  <c r="I57" i="21" s="1"/>
  <c r="I93" i="36"/>
  <c r="H93" i="36"/>
  <c r="H17" i="21" s="1"/>
  <c r="I96" i="36"/>
  <c r="I20" i="21" s="1"/>
  <c r="L96" i="36"/>
  <c r="L20" i="21" s="1"/>
  <c r="K102" i="36"/>
  <c r="K26" i="21" s="1"/>
  <c r="J99" i="36"/>
  <c r="J23" i="21" s="1"/>
  <c r="I102" i="36"/>
  <c r="I26" i="21" s="1"/>
  <c r="L102" i="36"/>
  <c r="L26" i="21" s="1"/>
  <c r="J94" i="36"/>
  <c r="J18" i="21" s="1"/>
  <c r="H51" i="21"/>
  <c r="J100" i="36"/>
  <c r="J24" i="21" s="1"/>
  <c r="L98" i="36"/>
  <c r="L22" i="21" s="1"/>
  <c r="J98" i="36"/>
  <c r="J22" i="21" s="1"/>
  <c r="L51" i="21"/>
  <c r="K95" i="36"/>
  <c r="K19" i="21" s="1"/>
  <c r="J97" i="36"/>
  <c r="J21" i="21" s="1"/>
  <c r="L99" i="36"/>
  <c r="L23" i="21" s="1"/>
  <c r="J61" i="21"/>
  <c r="K97" i="36"/>
  <c r="K21" i="21" s="1"/>
  <c r="J104" i="36"/>
  <c r="J28" i="21" s="1"/>
  <c r="K104" i="36"/>
  <c r="K28" i="21" s="1"/>
  <c r="J103" i="36"/>
  <c r="J27" i="21" s="1"/>
  <c r="J93" i="36"/>
  <c r="J17" i="21" s="1"/>
  <c r="L95" i="36"/>
  <c r="L19" i="21" s="1"/>
  <c r="I17" i="21"/>
  <c r="J102" i="36"/>
  <c r="J26" i="21" s="1"/>
  <c r="J96" i="36"/>
  <c r="J20" i="21" s="1"/>
  <c r="J56" i="21"/>
  <c r="J58" i="21"/>
  <c r="L93" i="36"/>
  <c r="L17" i="21" s="1"/>
  <c r="K100" i="36"/>
  <c r="K24" i="21" s="1"/>
  <c r="L97" i="36"/>
  <c r="L21" i="21" s="1"/>
  <c r="J101" i="36"/>
  <c r="J25" i="21" s="1"/>
  <c r="L103" i="36"/>
  <c r="L27" i="21" s="1"/>
  <c r="K96" i="36"/>
  <c r="K20" i="21" s="1"/>
  <c r="J95" i="36"/>
  <c r="J19" i="21" s="1"/>
  <c r="L57" i="21"/>
  <c r="L94" i="36"/>
  <c r="L18" i="21" s="1"/>
  <c r="K98" i="36"/>
  <c r="K22" i="21" s="1"/>
  <c r="L55" i="21"/>
  <c r="L104" i="36"/>
  <c r="L28" i="21" s="1"/>
  <c r="K101" i="36"/>
  <c r="K25" i="21" s="1"/>
  <c r="I99" i="36"/>
  <c r="I23" i="21" s="1"/>
  <c r="K103" i="36"/>
  <c r="K27" i="21" s="1"/>
  <c r="K53" i="21"/>
  <c r="L101" i="36"/>
  <c r="L25" i="21" s="1"/>
  <c r="K94" i="36"/>
  <c r="K18" i="21" s="1"/>
  <c r="L54" i="21"/>
  <c r="K93" i="36"/>
  <c r="K17" i="21" s="1"/>
  <c r="K99" i="36"/>
  <c r="K23" i="21" s="1"/>
  <c r="L100" i="36"/>
  <c r="L24" i="2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<sst xmlns="http://schemas.openxmlformats.org/spreadsheetml/2006/main" count="808" uniqueCount="177">
  <si>
    <t>Tabblad 1 - Entry- en exittarieven Neutraliteitsheffing</t>
  </si>
  <si>
    <t>Beschrijving resultaat</t>
  </si>
  <si>
    <t>Op dit tabblad worden de reserveringsprijzen opgehaald vanuit het berekeningstabblad 
"entry- en exittarieven". De tarieven worden vastgesteld op 8 decimalen, maar worden weergegeven op 3 of 5 decimalen.</t>
  </si>
  <si>
    <t>Toelichting bij bijzonderheden</t>
  </si>
  <si>
    <t xml:space="preserve">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 </t>
  </si>
  <si>
    <t>Gekozen punt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</si>
  <si>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</si>
  <si>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</si>
  <si>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</si>
  <si>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</si>
  <si>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</si>
  <si>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</si>
  <si>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</si>
  <si>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</si>
  <si>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</si>
  <si>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</si>
  <si>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</si>
  <si>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</si>
  <si>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</si>
  <si>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</si>
  <si>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</si>
  <si>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</si>
  <si>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</si>
  <si>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</si>
  <si>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</si>
  <si>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</si>
  <si>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</si>
  <si>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</si>
  <si>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</si>
  <si>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</si>
  <si>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</si>
  <si>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</si>
  <si>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</si>
  <si>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</si>
  <si>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</si>
  <si>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</si>
  <si>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</si>
  <si>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</si>
  <si>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</si>
  <si>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</si>
  <si>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</si>
  <si>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Tabblad 2 - Parameters</t>
  </si>
  <si>
    <t>Beschrijving gegevens</t>
  </si>
  <si>
    <t xml:space="preserve">Op dit tabblad worden alle relevante parameters weergegeven. In kolom S worden de bronnen weergegeven. </t>
  </si>
  <si>
    <t>Eenheid</t>
  </si>
  <si>
    <t>Constante</t>
  </si>
  <si>
    <t>Bronverwijzing</t>
  </si>
  <si>
    <t>Opmerking</t>
  </si>
  <si>
    <t>Heffingsrente</t>
  </si>
  <si>
    <t>Wettelijke rente</t>
  </si>
  <si>
    <t>DNB, vanaf 2025 berekening ACM o.b.c. ECB</t>
  </si>
  <si>
    <t>Vanaf 2025 gebruikt de ACM een actuelere en specifiekere schatting voor de heffingsrente, gebaseerd op de meest recent beschikbare gegevens</t>
  </si>
  <si>
    <t>1 + heffingsrente</t>
  </si>
  <si>
    <t>Van 2020 naar jaar</t>
  </si>
  <si>
    <t>1+heffingsrente</t>
  </si>
  <si>
    <t>Van 2021 naar jaar</t>
  </si>
  <si>
    <t>Van 2022 naar jaar</t>
  </si>
  <si>
    <t>Van 2023 naar jaar</t>
  </si>
  <si>
    <t>Van 2024 naar jaar</t>
  </si>
  <si>
    <t>Van 2025 naar jaar</t>
  </si>
  <si>
    <t>Van 2026 naar jaar</t>
  </si>
  <si>
    <t>Entry-exitverdeling</t>
  </si>
  <si>
    <t>Aandeel toegestane inkomsten entry</t>
  </si>
  <si>
    <t>%</t>
  </si>
  <si>
    <t>Tarievencode gas</t>
  </si>
  <si>
    <t>Aandeel toegestane inkomsten exit</t>
  </si>
  <si>
    <t>Kortingen</t>
  </si>
  <si>
    <t>Gasopslagkorting</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</si>
  <si>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</si>
  <si>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</si>
  <si>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</si>
  <si>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</si>
  <si>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</si>
  <si>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</si>
  <si>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</si>
  <si>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</si>
  <si>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</si>
  <si>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</si>
  <si>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</si>
  <si>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</si>
  <si>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</si>
  <si>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</si>
  <si>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</si>
  <si>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2025</t>
  </si>
  <si>
    <t>Aantal dagen per kwartaal in het jaar 2025</t>
  </si>
  <si>
    <t>Aantal dagen en uren per jaar in het jaar 2025</t>
  </si>
  <si>
    <t>Aantal uren per dag</t>
  </si>
  <si>
    <t>Aantal dagen per jaar</t>
  </si>
  <si>
    <t>Aantal uren per jaar</t>
  </si>
  <si>
    <t>Korting afschakelbare capaciteit</t>
  </si>
  <si>
    <t>Entry</t>
  </si>
  <si>
    <t>301576_VIP BENE-L</t>
  </si>
  <si>
    <t>301568_VIP TTF-THE-L</t>
  </si>
  <si>
    <t>301546_VIP BENE</t>
  </si>
  <si>
    <t>301453_OUDE STATENZIJL (EWE JEMGUM)</t>
  </si>
  <si>
    <t>Dit kortingspercentage is op het moment van nemen van het Tarievenbesluit GTS 2025 nog niet correct opgenomen in de Tarievencode Gas. 
De kortingspercentages zoals hier weergegeven zijn correct. Het kortingspercentage in de Tarievencode Gas wordt voor 31 december 2024 aangepast, 
Hierdoor komen de kortingspercentages in het Tarievenbesluit GTS 2025 en de Tarievencode Gas overeen op het moment dat de tarieven van kracht worden.</t>
  </si>
  <si>
    <t>301401_OUDE STATENZIJL (ETZEL FREYA H)</t>
  </si>
  <si>
    <t>Dit kortingspercentage is op het moment van nemen van het Tarievenbesluit GTS 2025 nog niet correct opgenomen in de Tarievencode Gas. De kortingspercentages zoals hier weergegeven zijn correct. Het kortingspercentage in de Tarievencode Gas wordt voor 31 december 2024 aangepast, Hierdoor komen de kortingspercentages in het Tarievenbesluit GTS 2025 en de Tarievencode Gas overeen op het moment dat de tarieven van kracht worden.</t>
  </si>
  <si>
    <t>301400_OUDE STATENZIJL (ETZEL-CRYSTAL-H)</t>
  </si>
  <si>
    <t>301391_OUDE STATENZIJL (ASTORA JEMGUM)</t>
  </si>
  <si>
    <t>301360_OUDE STATENZIJL (ETZEL EKB H)</t>
  </si>
  <si>
    <t>301348_BERGERMEER (TAQA-UGS)</t>
  </si>
  <si>
    <t>301345_ROTTERDAM (GATE)</t>
  </si>
  <si>
    <t>301320_ZUIDWENDING (UGS)</t>
  </si>
  <si>
    <t>301116_NORG (NAM-UGS)</t>
  </si>
  <si>
    <t>301114_GRIJPSKERK (NAM-UGS)</t>
  </si>
  <si>
    <t>300131_HILVARENBEEK (FLUXYS)</t>
  </si>
  <si>
    <t>Exit</t>
  </si>
  <si>
    <t xml:space="preserve">Tabblad 3 - Input nacalculaties </t>
  </si>
  <si>
    <t>Op dit tabblad wordt de benodigde informatie voor de nacalculaties weergegeven.</t>
  </si>
  <si>
    <t>Neutraliteitsheffing</t>
  </si>
  <si>
    <t>Toegestane inkomsten 2023</t>
  </si>
  <si>
    <t>EUR, pp jaar</t>
  </si>
  <si>
    <t>Neutraliteitsheffing 2023</t>
  </si>
  <si>
    <t>Gerealiseerde inkomsten 2023</t>
  </si>
  <si>
    <t>Reguleringsdata 2023</t>
  </si>
  <si>
    <t>Kosten vergoed door neutraliteitsheffing (artikel 4.1.4.5 transportcode Gas LNB)</t>
  </si>
  <si>
    <t>Kosten 2023 vergoed door neutraliteitsheffing</t>
  </si>
  <si>
    <t>Kosten vergoed door neutraliteitsheffing (artikel 4.1.4.6 transportcode Gas LNB)</t>
  </si>
  <si>
    <t>Einde dag verrekening (artikel 4.1.7 transportcode Gas LNB)</t>
  </si>
  <si>
    <t>Opbrengsten 2023 uit einde dag verrekening</t>
  </si>
  <si>
    <t>Kosten vergoed door neutraliteitsheffing (wanbetaling gecorrigeerd voor nagekomen opbrengsten)</t>
  </si>
  <si>
    <t>Betreft nagekomen kosten t.a.v. wanbetaling</t>
  </si>
  <si>
    <t>Tabblad 4 - Input voorspelde gecontracteerde capaciteit</t>
  </si>
  <si>
    <t>Op dit tabblad kan GTS de schatting van de gecontracteerde capaciteit 
opgeven.</t>
  </si>
  <si>
    <t>Voorspelde gecontracteerde capaciteit</t>
  </si>
  <si>
    <t>Voorspelde gecontracteerde capaciteit entry</t>
  </si>
  <si>
    <t>kWh/uur/jaar</t>
  </si>
  <si>
    <t>GTS</t>
  </si>
  <si>
    <t>Voorspelde gecontracteerde capaciteit exit</t>
  </si>
  <si>
    <t>Voorspelde gecontracteerde capaciteit entry gasopslag</t>
  </si>
  <si>
    <t>Voorspelde gecontracteerde capaciteit exit gasopslag</t>
  </si>
  <si>
    <t>Voorspelde gecontracteerde capaciteit entry LNG-faciliteiten</t>
  </si>
  <si>
    <t>Tabblad 5 - Nacalculaties</t>
  </si>
  <si>
    <t>Beschrijving berekening</t>
  </si>
  <si>
    <t xml:space="preserve">Op dit tabblad worden de nacalculaties inclusief heffingsrente berekend. 
</t>
  </si>
  <si>
    <t>Ophalen parameters</t>
  </si>
  <si>
    <t>1+ heffingsrente</t>
  </si>
  <si>
    <t xml:space="preserve">Verschil </t>
  </si>
  <si>
    <t>Nacalculeren excl. heffingsrente</t>
  </si>
  <si>
    <t>Nacalculeren incl. heffingsrente</t>
  </si>
  <si>
    <t>Tabblad 6 - Toegestane inkomsten</t>
  </si>
  <si>
    <t>Op dit tabblad worden de toegestane inkomsten berekend.</t>
  </si>
  <si>
    <t>Nacalculaties</t>
  </si>
  <si>
    <t>Toegestane inkomsten</t>
  </si>
  <si>
    <t xml:space="preserve">Toegestane inkomsten </t>
  </si>
  <si>
    <t>Tabblad 7 - Referentieprijsmethodologie</t>
  </si>
  <si>
    <t>Op dit tabblad worden de referentieprijzen berekend</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</si>
  <si>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</si>
  <si>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</si>
  <si>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</si>
  <si>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</si>
  <si>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</si>
  <si>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</si>
  <si>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</si>
  <si>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</si>
  <si>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</si>
  <si>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</si>
  <si>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</si>
  <si>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</si>
  <si>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</si>
  <si>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</si>
  <si>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</si>
  <si>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</si>
  <si>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</si>
  <si>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</si>
  <si>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Tabblad 8 - Entry- en exittarieven</t>
  </si>
  <si>
    <t>Op dit tabblad worden de entry- en exittarieven berekend.</t>
  </si>
  <si>
    <t>Gekozen punt voor korting afschakelen</t>
  </si>
  <si>
    <t>Korting voor afschakelbare capaciteit entry</t>
  </si>
  <si>
    <t>Korting voor afschakelbare capaciteit exit</t>
  </si>
  <si>
    <t>Referentieprijzen na aanpassingen (onafgerond)</t>
  </si>
  <si>
    <t>EUR/kWh/uur/jaar, pp 2025</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</si>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</sst>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0_ ;\-#,##0\ "/>
    <numFmt numFmtId="270" formatCode="_ * #,##0.000_ ;_ * \-#,##0.000_ ;_ * &quot;-&quot;???_ ;_ @_ "/>
    <numFmt numFmtId="271" formatCode="_ * #,##0.00000000_ ;_ * \-#,##0.0000000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20">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164" fontId="6" fillId="13" borderId="0" xfId="63" applyNumberFormat="1" applyFill="1">
      <alignment vertical="top"/>
    </xf>
    <xf numFmtId="0" fontId="7" fillId="20" borderId="1" xfId="6" applyNumberFormat="1" applyAlignment="1">
      <alignment horizontal="right" vertical="top"/>
    </xf>
    <xf numFmtId="262" fontId="6" fillId="14" borderId="0" xfId="4"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64" fontId="6" fillId="7" borderId="0" xfId="4" applyNumberFormat="1" applyFill="1">
      <alignment vertical="top"/>
    </xf>
    <xf numFmtId="10" fontId="6" fillId="7" borderId="0" xfId="64" applyFill="1">
      <alignment vertical="top"/>
    </xf>
    <xf numFmtId="0" fontId="6" fillId="0" borderId="0" xfId="4" applyAlignment="1">
      <alignment horizontal="left" vertical="top"/>
    </xf>
    <xf numFmtId="0" fontId="6" fillId="153" borderId="0" xfId="4" applyFill="1">
      <alignment vertical="top"/>
    </xf>
    <xf numFmtId="10" fontId="6" fillId="6" borderId="0" xfId="64" applyFill="1">
      <alignment vertical="top"/>
    </xf>
    <xf numFmtId="0" fontId="28" fillId="0" borderId="0" xfId="0" applyFont="1" applyAlignment="1"/>
    <xf numFmtId="164" fontId="6" fillId="6" borderId="0" xfId="4" applyNumberFormat="1" applyFill="1">
      <alignment vertical="top"/>
    </xf>
    <xf numFmtId="164" fontId="6" fillId="0" borderId="0" xfId="63" applyNumberFormat="1" applyFill="1">
      <alignment vertical="top"/>
    </xf>
    <xf numFmtId="264" fontId="6" fillId="13"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67" fontId="7" fillId="20" borderId="3" xfId="6" applyNumberFormat="1" applyBorder="1">
      <alignment vertical="top"/>
    </xf>
    <xf numFmtId="267" fontId="7" fillId="20" borderId="0" xfId="6" applyNumberFormat="1" applyBorder="1">
      <alignment vertical="top"/>
    </xf>
    <xf numFmtId="267" fontId="7" fillId="20" borderId="32" xfId="6" applyNumberFormat="1" applyBorder="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8" fontId="6" fillId="0" borderId="0" xfId="4" applyNumberFormat="1" applyAlignment="1">
      <alignment vertical="center"/>
    </xf>
    <xf numFmtId="268" fontId="7" fillId="20" borderId="3" xfId="6" applyNumberFormat="1" applyBorder="1" applyAlignment="1">
      <alignment vertical="center"/>
    </xf>
    <xf numFmtId="268" fontId="7" fillId="20" borderId="0" xfId="6" applyNumberFormat="1" applyBorder="1" applyAlignment="1">
      <alignment vertical="center"/>
    </xf>
    <xf numFmtId="268" fontId="7" fillId="20" borderId="32" xfId="6" applyNumberFormat="1" applyBorder="1" applyAlignment="1">
      <alignment vertical="center"/>
    </xf>
    <xf numFmtId="268" fontId="6" fillId="0" borderId="0" xfId="63" applyNumberFormat="1" applyFill="1" applyAlignment="1">
      <alignment vertical="center"/>
    </xf>
    <xf numFmtId="268" fontId="7" fillId="20" borderId="3" xfId="6" applyNumberFormat="1" applyBorder="1">
      <alignment vertical="top"/>
    </xf>
    <xf numFmtId="268" fontId="7" fillId="20" borderId="0" xfId="6" applyNumberFormat="1" applyBorder="1">
      <alignment vertical="top"/>
    </xf>
    <xf numFmtId="268" fontId="7" fillId="20" borderId="32" xfId="6" applyNumberFormat="1" applyBorder="1">
      <alignment vertical="top"/>
    </xf>
    <xf numFmtId="268" fontId="6" fillId="0" borderId="0" xfId="4" applyNumberFormat="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164" fontId="6" fillId="7" borderId="0" xfId="63" applyNumberFormat="1" applyFont="1"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3" fontId="6" fillId="7" borderId="0" xfId="4" applyNumberFormat="1" applyFill="1">
      <alignment vertical="top"/>
    </xf>
    <xf numFmtId="262" fontId="6" fillId="6" borderId="0" xfId="4" applyNumberFormat="1" applyFill="1">
      <alignment vertical="top"/>
    </xf>
    <xf numFmtId="10" fontId="6" fillId="10" borderId="0" xfId="64" applyFill="1">
      <alignment vertical="top"/>
    </xf>
    <xf numFmtId="164" fontId="6" fillId="153" borderId="0" xfId="4" applyNumberFormat="1" applyFill="1">
      <alignment vertical="top"/>
    </xf>
    <xf numFmtId="3" fontId="6" fillId="153" borderId="0" xfId="4" applyNumberFormat="1" applyFill="1">
      <alignment vertical="top"/>
    </xf>
    <xf numFmtId="269" fontId="6" fillId="14" borderId="0" xfId="63" applyNumberFormat="1" applyFill="1">
      <alignment vertical="top"/>
    </xf>
    <xf numFmtId="269" fontId="6" fillId="13" borderId="0" xfId="63" applyNumberFormat="1" applyFill="1">
      <alignment vertical="top"/>
    </xf>
    <xf numFmtId="269" fontId="31" fillId="14" borderId="0" xfId="63" applyNumberFormat="1" applyFont="1" applyFill="1">
      <alignment vertical="top"/>
    </xf>
    <xf numFmtId="49" fontId="10" fillId="0" borderId="0" xfId="15">
      <alignment vertical="top"/>
    </xf>
    <xf numFmtId="0" fontId="7" fillId="10" borderId="0" xfId="4" applyFont="1" applyFill="1">
      <alignment vertical="top"/>
    </xf>
    <xf numFmtId="0" fontId="6" fillId="10" borderId="0" xfId="4" applyFill="1">
      <alignment vertical="top"/>
    </xf>
    <xf numFmtId="270" fontId="6" fillId="0" borderId="0" xfId="4" applyNumberFormat="1">
      <alignment vertical="top"/>
    </xf>
    <xf numFmtId="10" fontId="6" fillId="6" borderId="0" xfId="4" applyNumberFormat="1" applyFill="1">
      <alignment vertical="top"/>
    </xf>
    <xf numFmtId="271" fontId="6" fillId="13" borderId="0" xfId="63" applyNumberFormat="1" applyFill="1" applyAlignment="1">
      <alignment horizontal="right" vertical="center"/>
    </xf>
    <xf numFmtId="265" fontId="6" fillId="13" borderId="0" xfId="63" applyNumberFormat="1" applyFill="1" applyAlignment="1">
      <alignment horizontal="right" vertical="center"/>
    </xf>
    <xf numFmtId="10" fontId="6" fillId="10" borderId="0" xfId="4" applyNumberFormat="1" applyFill="1">
      <alignment vertical="top"/>
    </xf>
    <xf numFmtId="265" fontId="6" fillId="13" borderId="0" xfId="4" applyNumberFormat="1" applyFill="1" applyAlignment="1">
      <alignment horizontal="right" vertical="center"/>
    </xf>
    <xf numFmtId="271" fontId="6" fillId="13" borderId="0" xfId="63" applyNumberFormat="1" applyFill="1" applyAlignment="1">
      <alignment horizontal="right" vertical="center"/>
    </xf>
    <xf numFmtId="0" fontId="6" fillId="0" borderId="0" xfId="4" applyAlignment="1">
      <alignment horizontal="left" vertical="top" wrapText="1"/>
    </xf>
    <xf numFmtId="0" fontId="6" fillId="0" borderId="0" xfId="4" applyAlignment="1">
      <alignment horizontal="left" vertical="top"/>
    </xf>
    <xf numFmtId="265" fontId="6" fillId="13" borderId="0" xfId="63" applyNumberFormat="1" applyFill="1" applyAlignment="1">
      <alignment horizontal="right" vertical="center"/>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3" fontId="6" fillId="0" borderId="0" xfId="4" applyNumberFormat="1" applyAlignment="1">
      <alignment horizontal="left" vertical="top" wrapText="1"/>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FFCCFF"/>
      <color rgb="FFFFCC99"/>
      <color rgb="FFFFFFCC"/>
      <color rgb="FFCCC8D9"/>
      <color rgb="FFCCFFCC"/>
      <color rgb="FFCCCCFF"/>
      <color rgb="FFCCFFFF"/>
      <color rgb="FF99FF9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onnections" Target="connection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 Id="rId27" Type="http://schemas.openxmlformats.org/officeDocument/2006/relationships/customXml" Target="../customXml/item1.xml"/><Relationship Id="rId30"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R\Afgeschermd\Cluster%20Control\00%20aNieuwe%20structuur\420%20-%20Overige%20verzoeken%20Energiekamer%20(DE)\50%20-%20Werkbestanden\indirecte%20OPEX%20en%20meerkosten%20WON\model%20segmentering%202008%20def%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Data"/>
      <sheetName val="AuditMod"/>
    </sheetNames>
    <sheetDataSet>
      <sheetData sheetId="0" refreshError="1"/>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sheetData sheetId="3"/>
      <sheetData sheetId="4" refreshError="1"/>
      <sheetData sheetId="5"/>
      <sheetData sheetId="6"/>
      <sheetData sheetId="7" refreshError="1"/>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sheet"/>
      <sheetName val="uren specificatie 2008"/>
      <sheetName val="Lijsten"/>
    </sheetNames>
    <sheetDataSet>
      <sheetData sheetId="0" refreshError="1"/>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80"/>
  <sheetViews>
    <sheetView showGridLines="0" tabSelected="1" zoomScale="60" zoomScaleNormal="60" workbookViewId="0">
      <pane xSplit="6" ySplit="10" topLeftCell="G11" activePane="bottomRight" state="frozen"/>
      <selection pane="topRight" activeCell="N56" sqref="N56"/>
      <selection pane="bottomLeft" activeCell="N56" sqref="N56"/>
      <selection pane="bottomRight"/>
    </sheetView>
  </sheetViews>
  <sheetFormatPr defaultColWidth="9.33203125" defaultRowHeight="13.2"/>
  <cols>
    <col min="1" max="1" width="2.6640625" style="3" customWidth="1"/>
    <col min="2" max="2" width="43.44140625" style="3" customWidth="1"/>
    <col min="3" max="5" width="2.6640625" style="3" customWidth="1"/>
    <col min="6" max="6" width="18.33203125" style="3" customWidth="1"/>
    <col min="7" max="7" width="2.6640625" style="3" customWidth="1"/>
    <col min="8" max="8" width="13.44140625" style="3" customWidth="1"/>
    <col min="9" max="9" width="13.109375" style="3" customWidth="1"/>
    <col min="10" max="10" width="20" style="3" bestFit="1" customWidth="1"/>
    <col min="11" max="11" width="17" style="3" bestFit="1" customWidth="1"/>
    <col min="12" max="12" width="16.5546875" style="3" bestFit="1" customWidth="1"/>
    <col min="13" max="13" width="6.6640625" style="3" customWidth="1"/>
    <col min="14" max="14" width="17.33203125" style="3" bestFit="1" customWidth="1"/>
    <col min="15" max="15" width="21.6640625" style="3" bestFit="1" customWidth="1"/>
    <col min="16" max="16" width="20" style="3" bestFit="1" customWidth="1"/>
    <col min="17" max="17" width="17" style="3" bestFit="1" customWidth="1"/>
    <col min="18" max="18" width="16.5546875" style="3" bestFit="1" customWidth="1"/>
    <col min="19" max="19" width="7.33203125" style="3" customWidth="1"/>
    <col min="20" max="20" width="17.6640625" style="3" bestFit="1" customWidth="1"/>
    <col min="21" max="34" width="13.6640625" style="3" customWidth="1"/>
    <col min="35" max="16384" width="9.33203125" style="3"/>
  </cols>
  <sheetData>
    <row r="2" spans="2:24" s="7" customFormat="1" ht="17.399999999999999">
      <c r="B2" s="7" t="s">
        <v>0</v>
      </c>
    </row>
    <row r="4" spans="2:24">
      <c r="B4" s="10" t="s">
        <v>1</v>
      </c>
      <c r="C4" s="2"/>
      <c r="D4" s="2"/>
      <c r="E4" s="2"/>
    </row>
    <row r="5" spans="2:24" ht="27" customHeight="1">
      <c r="B5" s="114" t="s">
        <v>2</v>
      </c>
      <c r="C5" s="115"/>
      <c r="D5" s="115"/>
      <c r="E5" s="115"/>
      <c r="F5" s="115"/>
    </row>
    <row r="6" spans="2:24">
      <c r="B6" s="1"/>
      <c r="C6" s="45"/>
      <c r="D6" s="45"/>
      <c r="E6" s="45"/>
      <c r="F6" s="45"/>
    </row>
    <row r="7" spans="2:24">
      <c r="B7" s="104" t="s">
        <v>3</v>
      </c>
      <c r="E7" s="45"/>
      <c r="F7" s="45"/>
    </row>
    <row r="8" spans="2:24" ht="89.25" customHeight="1">
      <c r="B8" s="1" t="s">
        <v>4</v>
      </c>
      <c r="C8" s="1"/>
      <c r="D8" s="1"/>
      <c r="E8" s="45"/>
      <c r="F8" s="45"/>
      <c r="H8" s="105" t="s">
        <v>5</v>
      </c>
      <c r="J8" s="105" t="s">
        <v>6</v>
      </c>
      <c r="K8" s="106"/>
    </row>
    <row r="9" spans="2:24">
      <c r="B9" s="4"/>
    </row>
    <row r="10" spans="2:24" s="5" customFormat="1" ht="12.75" customHeight="1">
      <c r="B10" s="5" t="s">
        <v>7</v>
      </c>
    </row>
    <row r="13" spans="2:24" s="20" customFormat="1" ht="12.75" customHeight="1">
      <c r="B13" s="20" t="s">
        <v>8</v>
      </c>
      <c r="H13" s="20" t="s">
        <v>9</v>
      </c>
      <c r="N13" s="20" t="s">
        <v>10</v>
      </c>
      <c r="T13" s="20" t="s">
        <v>11</v>
      </c>
    </row>
    <row r="14" spans="2:24" s="22" customFormat="1">
      <c r="B14" s="22" t="s">
        <v>12</v>
      </c>
      <c r="H14" s="22" t="s">
        <v>13</v>
      </c>
      <c r="I14" s="22" t="s">
        <v>14</v>
      </c>
      <c r="J14" s="22" t="s">
        <v>15</v>
      </c>
      <c r="K14" s="22" t="s">
        <v>16</v>
      </c>
      <c r="L14" s="22" t="s">
        <v>17</v>
      </c>
      <c r="N14" s="22" t="s">
        <v>13</v>
      </c>
      <c r="O14" s="22" t="s">
        <v>14</v>
      </c>
      <c r="P14" s="22" t="s">
        <v>15</v>
      </c>
      <c r="Q14" s="22" t="s">
        <v>16</v>
      </c>
      <c r="R14" s="22" t="s">
        <v>17</v>
      </c>
      <c r="T14" s="22" t="s">
        <v>13</v>
      </c>
      <c r="U14" s="22" t="s">
        <v>14</v>
      </c>
      <c r="V14" s="22" t="s">
        <v>15</v>
      </c>
      <c r="W14" s="22" t="s">
        <v>16</v>
      </c>
      <c r="X14" s="22" t="s">
        <v>17</v>
      </c>
    </row>
    <row r="15" spans="2:24" s="21" customFormat="1">
      <c r="H15" s="21" t="s">
        <v>18</v>
      </c>
      <c r="I15" s="21" t="s">
        <v>19</v>
      </c>
      <c r="J15" s="21" t="s">
        <v>20</v>
      </c>
      <c r="K15" s="21" t="s">
        <v>21</v>
      </c>
      <c r="L15" s="21" t="s">
        <v>22</v>
      </c>
      <c r="N15" s="21" t="s">
        <v>18</v>
      </c>
      <c r="O15" s="21" t="s">
        <v>19</v>
      </c>
      <c r="P15" s="21" t="s">
        <v>20</v>
      </c>
      <c r="Q15" s="21" t="s">
        <v>21</v>
      </c>
      <c r="R15" s="21" t="s">
        <v>22</v>
      </c>
      <c r="T15" s="21" t="s">
        <v>18</v>
      </c>
      <c r="U15" s="21" t="s">
        <v>19</v>
      </c>
      <c r="V15" s="21" t="s">
        <v>20</v>
      </c>
      <c r="W15" s="21" t="s">
        <v>21</v>
      </c>
      <c r="X15" s="21" t="s">
        <v>22</v>
      </c>
    </row>
    <row r="17" spans="2:24">
      <c r="B17" s="33" t="s">
        <v>23</v>
      </c>
      <c r="C17" s="33"/>
      <c r="D17" s="33"/>
      <c r="E17" s="33"/>
      <c r="F17" s="33"/>
      <c r="G17" s="33"/>
      <c r="H17" s="113">
        <f>'8. Entry- en exittarieven '!H93</f>
        <v>-7.3784300000000001E-3</v>
      </c>
      <c r="I17" s="113">
        <f>'8. Entry- en exittarieven '!I93</f>
        <v>-3.3703299999999999E-3</v>
      </c>
      <c r="J17" s="109">
        <f>'8. Entry- en exittarieven '!J93</f>
        <v>-1.6120900000000001E-3</v>
      </c>
      <c r="K17" s="109">
        <f>'8. Entry- en exittarieven '!K93</f>
        <v>-6.2719999999999996E-5</v>
      </c>
      <c r="L17" s="109">
        <f>'8. Entry- en exittarieven '!L93</f>
        <v>-2.6199999999999999E-6</v>
      </c>
      <c r="M17" s="60"/>
      <c r="N17" s="112">
        <f>'8. Entry- en exittarieven '!N93</f>
        <v>-1.84461E-3</v>
      </c>
      <c r="O17" s="116">
        <f>'8. Entry- en exittarieven '!O93</f>
        <v>-8.4258E-4</v>
      </c>
      <c r="P17" s="110">
        <f>'8. Entry- en exittarieven '!P93</f>
        <v>-4.0301999999999997E-4</v>
      </c>
      <c r="Q17" s="110">
        <f>'8. Entry- en exittarieven '!Q93</f>
        <v>-1.5679999999999999E-5</v>
      </c>
      <c r="R17" s="110">
        <f>'8. Entry- en exittarieven '!R93</f>
        <v>-6.6000000000000003E-7</v>
      </c>
      <c r="T17" s="112">
        <f>'8. Entry- en exittarieven '!T93</f>
        <v>-5.90275E-3</v>
      </c>
      <c r="U17" s="116">
        <f>'8. Entry- en exittarieven '!U93</f>
        <v>-2.6962599999999998E-3</v>
      </c>
      <c r="V17" s="110">
        <f>'8. Entry- en exittarieven '!V93</f>
        <v>-1.2896699999999999E-3</v>
      </c>
      <c r="W17" s="110">
        <f>'8. Entry- en exittarieven '!W93</f>
        <v>-5.0179999999999997E-5</v>
      </c>
      <c r="X17" s="110">
        <f>'8. Entry- en exittarieven '!X93</f>
        <v>-2.0999999999999998E-6</v>
      </c>
    </row>
    <row r="18" spans="2:24">
      <c r="B18" s="33" t="s">
        <v>24</v>
      </c>
      <c r="C18" s="33"/>
      <c r="D18" s="33"/>
      <c r="E18" s="33"/>
      <c r="F18" s="33"/>
      <c r="G18" s="33"/>
      <c r="H18" s="113"/>
      <c r="I18" s="113"/>
      <c r="J18" s="109">
        <f>'8. Entry- en exittarieven '!J94</f>
        <v>-1.30156E-3</v>
      </c>
      <c r="K18" s="109">
        <f>'8. Entry- en exittarieven '!K94</f>
        <v>-5.6069999999999997E-5</v>
      </c>
      <c r="L18" s="109">
        <f>'8. Entry- en exittarieven '!L94</f>
        <v>-2.34E-6</v>
      </c>
      <c r="M18" s="60"/>
      <c r="N18" s="112"/>
      <c r="O18" s="116"/>
      <c r="P18" s="110">
        <f>'8. Entry- en exittarieven '!P94</f>
        <v>-3.2539E-4</v>
      </c>
      <c r="Q18" s="110">
        <f>'8. Entry- en exittarieven '!Q94</f>
        <v>-1.402E-5</v>
      </c>
      <c r="R18" s="110">
        <f>'8. Entry- en exittarieven '!R94</f>
        <v>-5.8999999999999996E-7</v>
      </c>
      <c r="T18" s="112"/>
      <c r="U18" s="116"/>
      <c r="V18" s="110">
        <f>'8. Entry- en exittarieven '!V94</f>
        <v>-1.0412399999999999E-3</v>
      </c>
      <c r="W18" s="110">
        <f>'8. Entry- en exittarieven '!W94</f>
        <v>-4.4860000000000001E-5</v>
      </c>
      <c r="X18" s="110">
        <f>'8. Entry- en exittarieven '!X94</f>
        <v>-1.8699999999999999E-6</v>
      </c>
    </row>
    <row r="19" spans="2:24">
      <c r="B19" s="33" t="s">
        <v>25</v>
      </c>
      <c r="C19" s="33"/>
      <c r="D19" s="33"/>
      <c r="E19" s="33"/>
      <c r="F19" s="33"/>
      <c r="G19" s="33"/>
      <c r="H19" s="113"/>
      <c r="I19" s="113"/>
      <c r="J19" s="109">
        <f>'8. Entry- en exittarieven '!J95</f>
        <v>-1.1270500000000001E-3</v>
      </c>
      <c r="K19" s="109">
        <f>'8. Entry- en exittarieven '!K95</f>
        <v>-4.3829999999999999E-5</v>
      </c>
      <c r="L19" s="109">
        <f>'8. Entry- en exittarieven '!L95</f>
        <v>-1.8299999999999998E-6</v>
      </c>
      <c r="M19" s="60"/>
      <c r="N19" s="112"/>
      <c r="O19" s="116"/>
      <c r="P19" s="110">
        <f>'8. Entry- en exittarieven '!P95</f>
        <v>-2.8175999999999999E-4</v>
      </c>
      <c r="Q19" s="110">
        <f>'8. Entry- en exittarieven '!Q95</f>
        <v>-1.096E-5</v>
      </c>
      <c r="R19" s="110">
        <f>'8. Entry- en exittarieven '!R95</f>
        <v>-4.5999999999999999E-7</v>
      </c>
      <c r="T19" s="112"/>
      <c r="U19" s="116"/>
      <c r="V19" s="110">
        <f>'8. Entry- en exittarieven '!V95</f>
        <v>-9.0163999999999999E-4</v>
      </c>
      <c r="W19" s="110">
        <f>'8. Entry- en exittarieven '!W95</f>
        <v>-3.506E-5</v>
      </c>
      <c r="X19" s="110">
        <f>'8. Entry- en exittarieven '!X95</f>
        <v>-1.4699999999999999E-6</v>
      </c>
    </row>
    <row r="20" spans="2:24">
      <c r="B20" s="33" t="s">
        <v>26</v>
      </c>
      <c r="C20" s="33"/>
      <c r="D20" s="33"/>
      <c r="E20" s="33"/>
      <c r="F20" s="33"/>
      <c r="G20" s="33"/>
      <c r="H20" s="113"/>
      <c r="I20" s="113">
        <f>'8. Entry- en exittarieven '!I96</f>
        <v>-1.80276E-3</v>
      </c>
      <c r="J20" s="109">
        <f>'8. Entry- en exittarieven '!J96</f>
        <v>-8.1324000000000001E-4</v>
      </c>
      <c r="K20" s="109">
        <f>'8. Entry- en exittarieven '!K96</f>
        <v>-3.269E-5</v>
      </c>
      <c r="L20" s="109">
        <f>'8. Entry- en exittarieven '!L96</f>
        <v>-1.3699999999999998E-6</v>
      </c>
      <c r="M20" s="60"/>
      <c r="N20" s="112"/>
      <c r="O20" s="116">
        <f>'8. Entry- en exittarieven '!O96</f>
        <v>-4.5069000000000001E-4</v>
      </c>
      <c r="P20" s="110">
        <f>'8. Entry- en exittarieven '!P96</f>
        <v>-2.0331E-4</v>
      </c>
      <c r="Q20" s="110">
        <f>'8. Entry- en exittarieven '!Q96</f>
        <v>-8.1699999999999997E-6</v>
      </c>
      <c r="R20" s="110">
        <f>'8. Entry- en exittarieven '!R96</f>
        <v>-3.4999999999999998E-7</v>
      </c>
      <c r="T20" s="112"/>
      <c r="U20" s="116">
        <f>'8. Entry- en exittarieven '!U96</f>
        <v>-1.44221E-3</v>
      </c>
      <c r="V20" s="110">
        <f>'8. Entry- en exittarieven '!V96</f>
        <v>-6.5059999999999998E-4</v>
      </c>
      <c r="W20" s="110">
        <f>'8. Entry- en exittarieven '!W96</f>
        <v>-2.6149999999999999E-5</v>
      </c>
      <c r="X20" s="110">
        <f>'8. Entry- en exittarieven '!X96</f>
        <v>-1.0899999999999999E-6</v>
      </c>
    </row>
    <row r="21" spans="2:24">
      <c r="B21" s="33" t="s">
        <v>27</v>
      </c>
      <c r="C21" s="33"/>
      <c r="D21" s="33"/>
      <c r="E21" s="33"/>
      <c r="F21" s="33"/>
      <c r="G21" s="33"/>
      <c r="H21" s="113"/>
      <c r="I21" s="113"/>
      <c r="J21" s="109">
        <f>'8. Entry- en exittarieven '!J97</f>
        <v>-7.4447000000000001E-4</v>
      </c>
      <c r="K21" s="109">
        <f>'8. Entry- en exittarieven '!K97</f>
        <v>-2.8969999999999999E-5</v>
      </c>
      <c r="L21" s="109">
        <f>'8. Entry- en exittarieven '!L97</f>
        <v>-1.2099999999999998E-6</v>
      </c>
      <c r="M21" s="60"/>
      <c r="N21" s="112"/>
      <c r="O21" s="116"/>
      <c r="P21" s="110">
        <f>'8. Entry- en exittarieven '!P97</f>
        <v>-1.8611999999999999E-4</v>
      </c>
      <c r="Q21" s="110">
        <f>'8. Entry- en exittarieven '!Q97</f>
        <v>-7.2400000000000001E-6</v>
      </c>
      <c r="R21" s="110">
        <f>'8. Entry- en exittarieven '!R97</f>
        <v>-3.1E-7</v>
      </c>
      <c r="T21" s="112"/>
      <c r="U21" s="116"/>
      <c r="V21" s="110">
        <f>'8. Entry- en exittarieven '!V97</f>
        <v>-5.9557999999999996E-4</v>
      </c>
      <c r="W21" s="110">
        <f>'8. Entry- en exittarieven '!W97</f>
        <v>-2.3180000000000002E-5</v>
      </c>
      <c r="X21" s="110">
        <f>'8. Entry- en exittarieven '!X97</f>
        <v>-9.6999999999999982E-7</v>
      </c>
    </row>
    <row r="22" spans="2:24">
      <c r="B22" s="33" t="s">
        <v>28</v>
      </c>
      <c r="C22" s="33"/>
      <c r="D22" s="33"/>
      <c r="E22" s="33"/>
      <c r="F22" s="33"/>
      <c r="G22" s="33"/>
      <c r="H22" s="113"/>
      <c r="I22" s="113"/>
      <c r="J22" s="109">
        <f>'8. Entry- en exittarieven '!J98</f>
        <v>-6.0493000000000005E-4</v>
      </c>
      <c r="K22" s="109">
        <f>'8. Entry- en exittarieven '!K98</f>
        <v>-2.4340000000000001E-5</v>
      </c>
      <c r="L22" s="109">
        <f>'8. Entry- en exittarieven '!L98</f>
        <v>-1.02E-6</v>
      </c>
      <c r="M22" s="60"/>
      <c r="N22" s="112"/>
      <c r="O22" s="116"/>
      <c r="P22" s="110">
        <f>'8. Entry- en exittarieven '!P98</f>
        <v>-1.5123E-4</v>
      </c>
      <c r="Q22" s="110">
        <f>'8. Entry- en exittarieven '!Q98</f>
        <v>-6.0800000000000002E-6</v>
      </c>
      <c r="R22" s="110">
        <f>'8. Entry- en exittarieven '!R98</f>
        <v>-2.6E-7</v>
      </c>
      <c r="T22" s="112"/>
      <c r="U22" s="116"/>
      <c r="V22" s="110">
        <f>'8. Entry- en exittarieven '!V98</f>
        <v>-4.8393999999999998E-4</v>
      </c>
      <c r="W22" s="110">
        <f>'8. Entry- en exittarieven '!W98</f>
        <v>-1.9470000000000002E-5</v>
      </c>
      <c r="X22" s="110">
        <f>'8. Entry- en exittarieven '!X98</f>
        <v>-8.1999999999999998E-7</v>
      </c>
    </row>
    <row r="23" spans="2:24">
      <c r="B23" s="33" t="s">
        <v>29</v>
      </c>
      <c r="C23" s="33"/>
      <c r="D23" s="33"/>
      <c r="E23" s="33"/>
      <c r="F23" s="33"/>
      <c r="G23" s="33"/>
      <c r="H23" s="113"/>
      <c r="I23" s="113">
        <f>'8. Entry- en exittarieven '!I99</f>
        <v>-1.4622400000000001E-3</v>
      </c>
      <c r="J23" s="109">
        <f>'8. Entry- en exittarieven '!J99</f>
        <v>-5.9031000000000003E-4</v>
      </c>
      <c r="K23" s="109">
        <f>'8. Entry- en exittarieven '!K99</f>
        <v>-2.296E-5</v>
      </c>
      <c r="L23" s="109">
        <f>'8. Entry- en exittarieven '!L99</f>
        <v>-9.5999999999999991E-7</v>
      </c>
      <c r="M23" s="60"/>
      <c r="N23" s="112"/>
      <c r="O23" s="116">
        <f>'8. Entry- en exittarieven '!O99</f>
        <v>-3.6556000000000002E-4</v>
      </c>
      <c r="P23" s="110">
        <f>'8. Entry- en exittarieven '!P99</f>
        <v>-1.4757999999999999E-4</v>
      </c>
      <c r="Q23" s="110">
        <f>'8. Entry- en exittarieven '!Q99</f>
        <v>-5.7400000000000001E-6</v>
      </c>
      <c r="R23" s="110">
        <f>'8. Entry- en exittarieven '!R99</f>
        <v>-2.3999999999999998E-7</v>
      </c>
      <c r="T23" s="112"/>
      <c r="U23" s="116">
        <f>'8. Entry- en exittarieven '!U99</f>
        <v>-1.16979E-3</v>
      </c>
      <c r="V23" s="110">
        <f>'8. Entry- en exittarieven '!V99</f>
        <v>-4.7225000000000001E-4</v>
      </c>
      <c r="W23" s="110">
        <f>'8. Entry- en exittarieven '!W99</f>
        <v>-1.8369999999999999E-5</v>
      </c>
      <c r="X23" s="110">
        <f>'8. Entry- en exittarieven '!X99</f>
        <v>-7.7000000000000004E-7</v>
      </c>
    </row>
    <row r="24" spans="2:24">
      <c r="B24" s="33" t="s">
        <v>30</v>
      </c>
      <c r="C24" s="33"/>
      <c r="D24" s="33"/>
      <c r="E24" s="33"/>
      <c r="F24" s="33"/>
      <c r="G24" s="33"/>
      <c r="H24" s="113"/>
      <c r="I24" s="113"/>
      <c r="J24" s="109">
        <f>'8. Entry- en exittarieven '!J100</f>
        <v>-5.6117999999999999E-4</v>
      </c>
      <c r="K24" s="109">
        <f>'8. Entry- en exittarieven '!K100</f>
        <v>-2.1860000000000001E-5</v>
      </c>
      <c r="L24" s="109">
        <f>'8. Entry- en exittarieven '!L100</f>
        <v>-9.1999999999999998E-7</v>
      </c>
      <c r="M24" s="60"/>
      <c r="N24" s="112"/>
      <c r="O24" s="116"/>
      <c r="P24" s="110">
        <f>'8. Entry- en exittarieven '!P100</f>
        <v>-1.4029E-4</v>
      </c>
      <c r="Q24" s="110">
        <f>'8. Entry- en exittarieven '!Q100</f>
        <v>-5.4700000000000001E-6</v>
      </c>
      <c r="R24" s="110">
        <f>'8. Entry- en exittarieven '!R100</f>
        <v>-2.3000000000000002E-7</v>
      </c>
      <c r="T24" s="112"/>
      <c r="U24" s="116"/>
      <c r="V24" s="110">
        <f>'8. Entry- en exittarieven '!V100</f>
        <v>-4.4893999999999999E-4</v>
      </c>
      <c r="W24" s="110">
        <f>'8. Entry- en exittarieven '!W100</f>
        <v>-1.749E-5</v>
      </c>
      <c r="X24" s="110">
        <f>'8. Entry- en exittarieven '!X100</f>
        <v>-7.3E-7</v>
      </c>
    </row>
    <row r="25" spans="2:24">
      <c r="B25" s="33" t="s">
        <v>31</v>
      </c>
      <c r="C25" s="33"/>
      <c r="D25" s="33"/>
      <c r="E25" s="33"/>
      <c r="F25" s="33"/>
      <c r="G25" s="33"/>
      <c r="H25" s="113"/>
      <c r="I25" s="113"/>
      <c r="J25" s="109">
        <f>'8. Entry- en exittarieven '!J101</f>
        <v>-6.0311000000000002E-4</v>
      </c>
      <c r="K25" s="109">
        <f>'8. Entry- en exittarieven '!K101</f>
        <v>-2.427E-5</v>
      </c>
      <c r="L25" s="109">
        <f>'8. Entry- en exittarieven '!L101</f>
        <v>-1.02E-6</v>
      </c>
      <c r="M25" s="60"/>
      <c r="N25" s="112"/>
      <c r="O25" s="116"/>
      <c r="P25" s="110">
        <f>'8. Entry- en exittarieven '!P101</f>
        <v>-1.5077999999999999E-4</v>
      </c>
      <c r="Q25" s="110">
        <f>'8. Entry- en exittarieven '!Q101</f>
        <v>-6.0700000000000003E-6</v>
      </c>
      <c r="R25" s="110">
        <f>'8. Entry- en exittarieven '!R101</f>
        <v>-2.6E-7</v>
      </c>
      <c r="T25" s="112"/>
      <c r="U25" s="116"/>
      <c r="V25" s="110">
        <f>'8. Entry- en exittarieven '!V101</f>
        <v>-4.8249000000000002E-4</v>
      </c>
      <c r="W25" s="110">
        <f>'8. Entry- en exittarieven '!W101</f>
        <v>-1.9409999999999999E-5</v>
      </c>
      <c r="X25" s="110">
        <f>'8. Entry- en exittarieven '!X101</f>
        <v>-8.0999999999999997E-7</v>
      </c>
    </row>
    <row r="26" spans="2:24">
      <c r="B26" s="33" t="s">
        <v>32</v>
      </c>
      <c r="C26" s="33"/>
      <c r="D26" s="33"/>
      <c r="E26" s="33"/>
      <c r="F26" s="33"/>
      <c r="G26" s="33"/>
      <c r="H26" s="113"/>
      <c r="I26" s="113">
        <f>'8. Entry- en exittarieven '!I102</f>
        <v>-2.5688099999999999E-3</v>
      </c>
      <c r="J26" s="109">
        <f>'8. Entry- en exittarieven '!J102</f>
        <v>-7.1533000000000002E-4</v>
      </c>
      <c r="K26" s="109">
        <f>'8. Entry- en exittarieven '!K102</f>
        <v>-2.7840000000000001E-5</v>
      </c>
      <c r="L26" s="109">
        <f>'8. Entry- en exittarieven '!L102</f>
        <v>-1.1699999999999998E-6</v>
      </c>
      <c r="M26" s="60"/>
      <c r="N26" s="112"/>
      <c r="O26" s="116">
        <f>'8. Entry- en exittarieven '!O102</f>
        <v>-6.422E-4</v>
      </c>
      <c r="P26" s="110">
        <f>'8. Entry- en exittarieven '!P102</f>
        <v>-1.7882999999999999E-4</v>
      </c>
      <c r="Q26" s="110">
        <f>'8. Entry- en exittarieven '!Q102</f>
        <v>-6.9600000000000003E-6</v>
      </c>
      <c r="R26" s="110">
        <f>'8. Entry- en exittarieven '!R102</f>
        <v>-2.9999999999999999E-7</v>
      </c>
      <c r="T26" s="112"/>
      <c r="U26" s="116">
        <f>'8. Entry- en exittarieven '!U102</f>
        <v>-2.0550400000000002E-3</v>
      </c>
      <c r="V26" s="110">
        <f>'8. Entry- en exittarieven '!V102</f>
        <v>-5.7227000000000005E-4</v>
      </c>
      <c r="W26" s="110">
        <f>'8. Entry- en exittarieven '!W102</f>
        <v>-2.2269999999999999E-5</v>
      </c>
      <c r="X26" s="110">
        <f>'8. Entry- en exittarieven '!X102</f>
        <v>-9.2999999999999999E-7</v>
      </c>
    </row>
    <row r="27" spans="2:24">
      <c r="B27" s="33" t="s">
        <v>33</v>
      </c>
      <c r="C27" s="33"/>
      <c r="D27" s="33"/>
      <c r="E27" s="33"/>
      <c r="F27" s="33"/>
      <c r="G27" s="33"/>
      <c r="H27" s="113"/>
      <c r="I27" s="113"/>
      <c r="J27" s="109">
        <f>'8. Entry- en exittarieven '!J103</f>
        <v>-1.02793E-3</v>
      </c>
      <c r="K27" s="109">
        <f>'8. Entry- en exittarieven '!K103</f>
        <v>-4.1319999999999997E-5</v>
      </c>
      <c r="L27" s="109">
        <f>'8. Entry- en exittarieven '!L103</f>
        <v>-1.73E-6</v>
      </c>
      <c r="M27" s="60"/>
      <c r="N27" s="112"/>
      <c r="O27" s="116"/>
      <c r="P27" s="110">
        <f>'8. Entry- en exittarieven '!P103</f>
        <v>-2.5698000000000002E-4</v>
      </c>
      <c r="Q27" s="110">
        <f>'8. Entry- en exittarieven '!Q103</f>
        <v>-1.0329999999999999E-5</v>
      </c>
      <c r="R27" s="110">
        <f>'8. Entry- en exittarieven '!R103</f>
        <v>-4.4000000000000002E-7</v>
      </c>
      <c r="T27" s="112"/>
      <c r="U27" s="116"/>
      <c r="V27" s="110">
        <f>'8. Entry- en exittarieven '!V103</f>
        <v>-8.2233999999999996E-4</v>
      </c>
      <c r="W27" s="110">
        <f>'8. Entry- en exittarieven '!W103</f>
        <v>-3.3059999999999999E-5</v>
      </c>
      <c r="X27" s="110">
        <f>'8. Entry- en exittarieven '!X103</f>
        <v>-1.3799999999999999E-6</v>
      </c>
    </row>
    <row r="28" spans="2:24">
      <c r="B28" s="33" t="s">
        <v>34</v>
      </c>
      <c r="C28" s="33"/>
      <c r="D28" s="33"/>
      <c r="E28" s="33"/>
      <c r="F28" s="33"/>
      <c r="G28" s="33"/>
      <c r="H28" s="113"/>
      <c r="I28" s="113"/>
      <c r="J28" s="109">
        <f>'8. Entry- en exittarieven '!J104</f>
        <v>-1.33855E-3</v>
      </c>
      <c r="K28" s="109">
        <f>'8. Entry- en exittarieven '!K104</f>
        <v>-5.2070000000000001E-5</v>
      </c>
      <c r="L28" s="109">
        <f>'8. Entry- en exittarieven '!L104</f>
        <v>-2.17E-6</v>
      </c>
      <c r="M28" s="60"/>
      <c r="N28" s="112"/>
      <c r="O28" s="116"/>
      <c r="P28" s="110">
        <f>'8. Entry- en exittarieven '!P104</f>
        <v>-3.3463999999999998E-4</v>
      </c>
      <c r="Q28" s="110">
        <f>'8. Entry- en exittarieven '!Q104</f>
        <v>-1.3020000000000001E-5</v>
      </c>
      <c r="R28" s="110">
        <f>'8. Entry- en exittarieven '!R104</f>
        <v>-5.5000000000000003E-7</v>
      </c>
      <c r="T28" s="112"/>
      <c r="U28" s="116"/>
      <c r="V28" s="110">
        <f>'8. Entry- en exittarieven '!V104</f>
        <v>-1.07084E-3</v>
      </c>
      <c r="W28" s="110">
        <f>'8. Entry- en exittarieven '!W104</f>
        <v>-4.1659999999999998E-5</v>
      </c>
      <c r="X28" s="110">
        <f>'8. Entry- en exittarieven '!X104</f>
        <v>-1.7399999999999999E-6</v>
      </c>
    </row>
    <row r="29" spans="2:24">
      <c r="B29" s="33"/>
      <c r="C29" s="33"/>
      <c r="D29" s="33"/>
      <c r="E29" s="33"/>
      <c r="F29" s="33"/>
      <c r="G29" s="33"/>
      <c r="H29" s="33"/>
      <c r="I29" s="33"/>
      <c r="J29" s="33"/>
      <c r="K29" s="33"/>
      <c r="L29" s="75"/>
      <c r="M29" s="33"/>
      <c r="N29" s="33"/>
      <c r="O29" s="33"/>
      <c r="P29" s="33"/>
      <c r="Q29" s="33"/>
      <c r="R29" s="80"/>
    </row>
    <row r="30" spans="2:24" s="20" customFormat="1">
      <c r="B30" s="34" t="s">
        <v>35</v>
      </c>
      <c r="C30" s="34"/>
      <c r="D30" s="34"/>
      <c r="E30" s="34"/>
      <c r="F30" s="34"/>
      <c r="G30" s="34"/>
      <c r="H30" s="34" t="s">
        <v>9</v>
      </c>
      <c r="I30" s="34"/>
      <c r="J30" s="34"/>
      <c r="K30" s="34"/>
      <c r="L30" s="76"/>
      <c r="M30" s="34"/>
      <c r="N30" s="34" t="s">
        <v>10</v>
      </c>
      <c r="O30" s="34"/>
      <c r="P30" s="34"/>
      <c r="Q30" s="34"/>
      <c r="R30" s="81"/>
    </row>
    <row r="31" spans="2:24" s="22" customFormat="1">
      <c r="B31" s="35" t="s">
        <v>36</v>
      </c>
      <c r="C31" s="35"/>
      <c r="D31" s="35"/>
      <c r="E31" s="35"/>
      <c r="F31" s="35"/>
      <c r="G31" s="35"/>
      <c r="H31" s="35" t="s">
        <v>13</v>
      </c>
      <c r="I31" s="35" t="s">
        <v>14</v>
      </c>
      <c r="J31" s="35" t="s">
        <v>15</v>
      </c>
      <c r="K31" s="35" t="s">
        <v>16</v>
      </c>
      <c r="L31" s="77" t="s">
        <v>17</v>
      </c>
      <c r="M31" s="35"/>
      <c r="N31" s="35" t="s">
        <v>13</v>
      </c>
      <c r="O31" s="35" t="s">
        <v>14</v>
      </c>
      <c r="P31" s="35" t="s">
        <v>15</v>
      </c>
      <c r="Q31" s="35" t="s">
        <v>16</v>
      </c>
      <c r="R31" s="82" t="s">
        <v>17</v>
      </c>
    </row>
    <row r="32" spans="2:24" s="21" customFormat="1">
      <c r="B32" s="36"/>
      <c r="C32" s="36"/>
      <c r="D32" s="36"/>
      <c r="E32" s="36"/>
      <c r="F32" s="36"/>
      <c r="G32" s="36"/>
      <c r="H32" s="36" t="s">
        <v>18</v>
      </c>
      <c r="I32" s="36" t="s">
        <v>19</v>
      </c>
      <c r="J32" s="36" t="s">
        <v>20</v>
      </c>
      <c r="K32" s="36" t="s">
        <v>21</v>
      </c>
      <c r="L32" s="78" t="s">
        <v>22</v>
      </c>
      <c r="M32" s="36"/>
      <c r="N32" s="36" t="s">
        <v>18</v>
      </c>
      <c r="O32" s="36" t="s">
        <v>19</v>
      </c>
      <c r="P32" s="36" t="s">
        <v>20</v>
      </c>
      <c r="Q32" s="36" t="s">
        <v>21</v>
      </c>
      <c r="R32" s="83" t="s">
        <v>22</v>
      </c>
    </row>
    <row r="33" spans="2:24">
      <c r="B33" s="33"/>
      <c r="C33" s="33"/>
      <c r="D33" s="33"/>
      <c r="E33" s="33"/>
      <c r="F33" s="33"/>
      <c r="G33" s="33"/>
      <c r="H33" s="33"/>
      <c r="I33" s="33"/>
      <c r="J33" s="33"/>
      <c r="K33" s="33"/>
      <c r="L33" s="75"/>
      <c r="M33" s="33"/>
      <c r="N33" s="33"/>
      <c r="O33" s="33"/>
      <c r="P33" s="33"/>
      <c r="Q33" s="33"/>
      <c r="R33" s="80"/>
    </row>
    <row r="34" spans="2:24">
      <c r="B34" s="33" t="s">
        <v>23</v>
      </c>
      <c r="C34" s="33"/>
      <c r="D34" s="33"/>
      <c r="E34" s="33"/>
      <c r="F34" s="33"/>
      <c r="G34" s="33"/>
      <c r="H34" s="112">
        <f>'8. Entry- en exittarieven '!H111</f>
        <v>-6.4509399999999996E-3</v>
      </c>
      <c r="I34" s="116">
        <f>'8. Entry- en exittarieven '!I111</f>
        <v>-2.9466700000000002E-3</v>
      </c>
      <c r="J34" s="110">
        <f>'8. Entry- en exittarieven '!J111</f>
        <v>-1.4094400000000001E-3</v>
      </c>
      <c r="K34" s="110">
        <f>'8. Entry- en exittarieven '!K111</f>
        <v>-5.4839999999999997E-5</v>
      </c>
      <c r="L34" s="110">
        <f>'8. Entry- en exittarieven '!L111</f>
        <v>-2.2900000000000001E-6</v>
      </c>
      <c r="M34" s="33"/>
      <c r="N34" s="112">
        <f>'8. Entry- en exittarieven '!N111</f>
        <v>-1.6127400000000001E-3</v>
      </c>
      <c r="O34" s="116">
        <f>'8. Entry- en exittarieven '!O111</f>
        <v>-7.3667000000000003E-4</v>
      </c>
      <c r="P34" s="110">
        <f>'8. Entry- en exittarieven '!P111</f>
        <v>-3.5236000000000002E-4</v>
      </c>
      <c r="Q34" s="110">
        <f>'8. Entry- en exittarieven '!Q111</f>
        <v>-1.3709999999999999E-5</v>
      </c>
      <c r="R34" s="110">
        <f>'8. Entry- en exittarieven '!R111</f>
        <v>-5.8000000000000006E-7</v>
      </c>
    </row>
    <row r="35" spans="2:24">
      <c r="B35" s="33" t="s">
        <v>24</v>
      </c>
      <c r="C35" s="33"/>
      <c r="D35" s="33"/>
      <c r="E35" s="33"/>
      <c r="F35" s="33"/>
      <c r="G35" s="33"/>
      <c r="H35" s="112"/>
      <c r="I35" s="116"/>
      <c r="J35" s="110">
        <f>'8. Entry- en exittarieven '!J112</f>
        <v>-1.13795E-3</v>
      </c>
      <c r="K35" s="110">
        <f>'8. Entry- en exittarieven '!K112</f>
        <v>-4.9020000000000002E-5</v>
      </c>
      <c r="L35" s="110">
        <f>'8. Entry- en exittarieven '!L112</f>
        <v>-2.0499999999999999E-6</v>
      </c>
      <c r="M35" s="33"/>
      <c r="N35" s="112"/>
      <c r="O35" s="116"/>
      <c r="P35" s="110">
        <f>'8. Entry- en exittarieven '!P112</f>
        <v>-2.8448999999999998E-4</v>
      </c>
      <c r="Q35" s="110">
        <f>'8. Entry- en exittarieven '!Q112</f>
        <v>-1.226E-5</v>
      </c>
      <c r="R35" s="110">
        <f>'8. Entry- en exittarieven '!R112</f>
        <v>-5.2E-7</v>
      </c>
    </row>
    <row r="36" spans="2:24">
      <c r="B36" s="33" t="s">
        <v>25</v>
      </c>
      <c r="C36" s="33"/>
      <c r="D36" s="33"/>
      <c r="E36" s="33"/>
      <c r="F36" s="33"/>
      <c r="G36" s="33"/>
      <c r="H36" s="112"/>
      <c r="I36" s="116"/>
      <c r="J36" s="110">
        <f>'8. Entry- en exittarieven '!J113</f>
        <v>-9.8537999999999989E-4</v>
      </c>
      <c r="K36" s="110">
        <f>'8. Entry- en exittarieven '!K113</f>
        <v>-3.8319999999999999E-5</v>
      </c>
      <c r="L36" s="110">
        <f>'8. Entry- en exittarieven '!L113</f>
        <v>-1.5999999999999999E-6</v>
      </c>
      <c r="M36" s="33"/>
      <c r="N36" s="112"/>
      <c r="O36" s="116"/>
      <c r="P36" s="110">
        <f>'8. Entry- en exittarieven '!P113</f>
        <v>-2.4634E-4</v>
      </c>
      <c r="Q36" s="110">
        <f>'8. Entry- en exittarieven '!Q113</f>
        <v>-9.5799999999999998E-6</v>
      </c>
      <c r="R36" s="110">
        <f>'8. Entry- en exittarieven '!R113</f>
        <v>-4.0000000000000003E-7</v>
      </c>
    </row>
    <row r="37" spans="2:24">
      <c r="B37" s="33" t="s">
        <v>26</v>
      </c>
      <c r="C37" s="33"/>
      <c r="D37" s="33"/>
      <c r="E37" s="33"/>
      <c r="F37" s="33"/>
      <c r="G37" s="33"/>
      <c r="H37" s="112"/>
      <c r="I37" s="116">
        <f>'8. Entry- en exittarieven '!I114</f>
        <v>-1.5761499999999999E-3</v>
      </c>
      <c r="J37" s="110">
        <f>'8. Entry- en exittarieven '!J114</f>
        <v>-7.1102000000000003E-4</v>
      </c>
      <c r="K37" s="110">
        <f>'8. Entry- en exittarieven '!K114</f>
        <v>-2.8580000000000001E-5</v>
      </c>
      <c r="L37" s="110">
        <f>'8. Entry- en exittarieven '!L114</f>
        <v>-1.1999999999999999E-6</v>
      </c>
      <c r="M37" s="33"/>
      <c r="N37" s="112"/>
      <c r="O37" s="116">
        <f>'8. Entry- en exittarieven '!O114</f>
        <v>-3.9404000000000002E-4</v>
      </c>
      <c r="P37" s="110">
        <f>'8. Entry- en exittarieven '!P114</f>
        <v>-1.7775000000000001E-4</v>
      </c>
      <c r="Q37" s="110">
        <f>'8. Entry- en exittarieven '!Q114</f>
        <v>-7.1400000000000002E-6</v>
      </c>
      <c r="R37" s="110">
        <f>'8. Entry- en exittarieven '!R114</f>
        <v>-2.9999999999999999E-7</v>
      </c>
    </row>
    <row r="38" spans="2:24">
      <c r="B38" s="33" t="s">
        <v>27</v>
      </c>
      <c r="C38" s="33"/>
      <c r="D38" s="33"/>
      <c r="E38" s="33"/>
      <c r="F38" s="33"/>
      <c r="G38" s="33"/>
      <c r="H38" s="112"/>
      <c r="I38" s="116"/>
      <c r="J38" s="110">
        <f>'8. Entry- en exittarieven '!J115</f>
        <v>-6.5089E-4</v>
      </c>
      <c r="K38" s="110">
        <f>'8. Entry- en exittarieven '!K115</f>
        <v>-2.533E-5</v>
      </c>
      <c r="L38" s="110">
        <f>'8. Entry- en exittarieven '!L115</f>
        <v>-1.0599999999999998E-6</v>
      </c>
      <c r="M38" s="33"/>
      <c r="N38" s="112"/>
      <c r="O38" s="116"/>
      <c r="P38" s="110">
        <f>'8. Entry- en exittarieven '!P115</f>
        <v>-1.6271999999999999E-4</v>
      </c>
      <c r="Q38" s="110">
        <f>'8. Entry- en exittarieven '!Q115</f>
        <v>-6.3300000000000004E-6</v>
      </c>
      <c r="R38" s="110">
        <f>'8. Entry- en exittarieven '!R115</f>
        <v>-2.7000000000000001E-7</v>
      </c>
    </row>
    <row r="39" spans="2:24">
      <c r="B39" s="33" t="s">
        <v>28</v>
      </c>
      <c r="C39" s="33"/>
      <c r="D39" s="33"/>
      <c r="E39" s="33"/>
      <c r="F39" s="33"/>
      <c r="G39" s="33"/>
      <c r="H39" s="112"/>
      <c r="I39" s="116"/>
      <c r="J39" s="110">
        <f>'8. Entry- en exittarieven '!J116</f>
        <v>-5.2888999999999996E-4</v>
      </c>
      <c r="K39" s="110">
        <f>'8. Entry- en exittarieven '!K116</f>
        <v>-2.128E-5</v>
      </c>
      <c r="L39" s="110">
        <f>'8. Entry- en exittarieven '!L116</f>
        <v>-8.9000000000000006E-7</v>
      </c>
      <c r="M39" s="33"/>
      <c r="N39" s="112"/>
      <c r="O39" s="116"/>
      <c r="P39" s="110">
        <f>'8. Entry- en exittarieven '!P116</f>
        <v>-1.3222E-4</v>
      </c>
      <c r="Q39" s="110">
        <f>'8. Entry- en exittarieven '!Q116</f>
        <v>-5.3199999999999999E-6</v>
      </c>
      <c r="R39" s="110">
        <f>'8. Entry- en exittarieven '!R116</f>
        <v>-2.3000000000000002E-7</v>
      </c>
    </row>
    <row r="40" spans="2:24">
      <c r="B40" s="33" t="s">
        <v>29</v>
      </c>
      <c r="C40" s="33"/>
      <c r="D40" s="33"/>
      <c r="E40" s="33"/>
      <c r="F40" s="33"/>
      <c r="G40" s="33"/>
      <c r="H40" s="112"/>
      <c r="I40" s="116">
        <f>'8. Entry- en exittarieven '!I117</f>
        <v>-1.27844E-3</v>
      </c>
      <c r="J40" s="110">
        <f>'8. Entry- en exittarieven '!J117</f>
        <v>-5.1610999999999996E-4</v>
      </c>
      <c r="K40" s="110">
        <f>'8. Entry- en exittarieven '!K117</f>
        <v>-2.0069999999999999E-5</v>
      </c>
      <c r="L40" s="110">
        <f>'8. Entry- en exittarieven '!L117</f>
        <v>-8.4E-7</v>
      </c>
      <c r="M40" s="33"/>
      <c r="N40" s="112"/>
      <c r="O40" s="116">
        <f>'8. Entry- en exittarieven '!O117</f>
        <v>-3.1961000000000001E-4</v>
      </c>
      <c r="P40" s="110">
        <f>'8. Entry- en exittarieven '!P117</f>
        <v>-1.2903E-4</v>
      </c>
      <c r="Q40" s="110">
        <f>'8. Entry- en exittarieven '!Q117</f>
        <v>-5.0200000000000002E-6</v>
      </c>
      <c r="R40" s="110">
        <f>'8. Entry- en exittarieven '!R117</f>
        <v>-2.1E-7</v>
      </c>
    </row>
    <row r="41" spans="2:24">
      <c r="B41" s="33" t="s">
        <v>30</v>
      </c>
      <c r="C41" s="33"/>
      <c r="D41" s="33"/>
      <c r="E41" s="33"/>
      <c r="F41" s="33"/>
      <c r="G41" s="33"/>
      <c r="H41" s="112"/>
      <c r="I41" s="116"/>
      <c r="J41" s="110">
        <f>'8. Entry- en exittarieven '!J118</f>
        <v>-4.9063000000000004E-4</v>
      </c>
      <c r="K41" s="110">
        <f>'8. Entry- en exittarieven '!K118</f>
        <v>-1.9110000000000002E-5</v>
      </c>
      <c r="L41" s="110">
        <f>'8. Entry- en exittarieven '!L118</f>
        <v>-7.9999999999999996E-7</v>
      </c>
      <c r="M41" s="33"/>
      <c r="N41" s="112"/>
      <c r="O41" s="116"/>
      <c r="P41" s="110">
        <f>'8. Entry- en exittarieven '!P118</f>
        <v>-1.2265999999999999E-4</v>
      </c>
      <c r="Q41" s="110">
        <f>'8. Entry- en exittarieven '!Q118</f>
        <v>-4.78E-6</v>
      </c>
      <c r="R41" s="110">
        <f>'8. Entry- en exittarieven '!R118</f>
        <v>-2.0000000000000002E-7</v>
      </c>
    </row>
    <row r="42" spans="2:24">
      <c r="B42" s="33" t="s">
        <v>31</v>
      </c>
      <c r="C42" s="33"/>
      <c r="D42" s="33"/>
      <c r="E42" s="33"/>
      <c r="F42" s="33"/>
      <c r="G42" s="33"/>
      <c r="H42" s="112"/>
      <c r="I42" s="116"/>
      <c r="J42" s="110">
        <f>'8. Entry- en exittarieven '!J119</f>
        <v>-5.2729999999999997E-4</v>
      </c>
      <c r="K42" s="110">
        <f>'8. Entry- en exittarieven '!K119</f>
        <v>-2.122E-5</v>
      </c>
      <c r="L42" s="110">
        <f>'8. Entry- en exittarieven '!L119</f>
        <v>-8.9000000000000006E-7</v>
      </c>
      <c r="M42" s="33"/>
      <c r="N42" s="112"/>
      <c r="O42" s="116"/>
      <c r="P42" s="110">
        <f>'8. Entry- en exittarieven '!P119</f>
        <v>-1.3181999999999999E-4</v>
      </c>
      <c r="Q42" s="110">
        <f>'8. Entry- en exittarieven '!Q119</f>
        <v>-5.3000000000000001E-6</v>
      </c>
      <c r="R42" s="110">
        <f>'8. Entry- en exittarieven '!R119</f>
        <v>-2.3000000000000002E-7</v>
      </c>
    </row>
    <row r="43" spans="2:24">
      <c r="B43" s="33" t="s">
        <v>32</v>
      </c>
      <c r="C43" s="33"/>
      <c r="D43" s="33"/>
      <c r="E43" s="33"/>
      <c r="F43" s="33"/>
      <c r="G43" s="33"/>
      <c r="H43" s="112"/>
      <c r="I43" s="116">
        <f>'8. Entry- en exittarieven '!I120</f>
        <v>-2.2458999999999999E-3</v>
      </c>
      <c r="J43" s="110">
        <f>'8. Entry- en exittarieven '!J120</f>
        <v>-6.2540999999999996E-4</v>
      </c>
      <c r="K43" s="110">
        <f>'8. Entry- en exittarieven '!K120</f>
        <v>-2.4340000000000001E-5</v>
      </c>
      <c r="L43" s="110">
        <f>'8. Entry- en exittarieven '!L120</f>
        <v>-1.02E-6</v>
      </c>
      <c r="M43" s="33"/>
      <c r="N43" s="112"/>
      <c r="O43" s="116">
        <f>'8. Entry- en exittarieven '!O120</f>
        <v>-5.6148000000000005E-4</v>
      </c>
      <c r="P43" s="110">
        <f>'8. Entry- en exittarieven '!P120</f>
        <v>-1.5635000000000001E-4</v>
      </c>
      <c r="Q43" s="110">
        <f>'8. Entry- en exittarieven '!Q120</f>
        <v>-6.0900000000000001E-6</v>
      </c>
      <c r="R43" s="110">
        <f>'8. Entry- en exittarieven '!R120</f>
        <v>-2.6E-7</v>
      </c>
    </row>
    <row r="44" spans="2:24">
      <c r="B44" s="33" t="s">
        <v>33</v>
      </c>
      <c r="C44" s="33"/>
      <c r="D44" s="33"/>
      <c r="E44" s="33"/>
      <c r="F44" s="33"/>
      <c r="G44" s="33"/>
      <c r="H44" s="112"/>
      <c r="I44" s="116"/>
      <c r="J44" s="110">
        <f>'8. Entry- en exittarieven '!J121</f>
        <v>-8.9871000000000005E-4</v>
      </c>
      <c r="K44" s="110">
        <f>'8. Entry- en exittarieven '!K121</f>
        <v>-3.6130000000000001E-5</v>
      </c>
      <c r="L44" s="110">
        <f>'8. Entry- en exittarieven '!L121</f>
        <v>-1.5099999999999999E-6</v>
      </c>
      <c r="M44" s="33"/>
      <c r="N44" s="112"/>
      <c r="O44" s="116"/>
      <c r="P44" s="110">
        <f>'8. Entry- en exittarieven '!P121</f>
        <v>-2.2468E-4</v>
      </c>
      <c r="Q44" s="110">
        <f>'8. Entry- en exittarieven '!Q121</f>
        <v>-9.0299999999999999E-6</v>
      </c>
      <c r="R44" s="110">
        <f>'8. Entry- en exittarieven '!R121</f>
        <v>-3.8000000000000001E-7</v>
      </c>
    </row>
    <row r="45" spans="2:24">
      <c r="B45" s="33" t="s">
        <v>34</v>
      </c>
      <c r="C45" s="33"/>
      <c r="D45" s="33"/>
      <c r="E45" s="33"/>
      <c r="F45" s="33"/>
      <c r="G45" s="33"/>
      <c r="H45" s="112"/>
      <c r="I45" s="116"/>
      <c r="J45" s="110">
        <f>'8. Entry- en exittarieven '!J122</f>
        <v>-1.17029E-3</v>
      </c>
      <c r="K45" s="110">
        <f>'8. Entry- en exittarieven '!K122</f>
        <v>-4.5529999999999999E-5</v>
      </c>
      <c r="L45" s="110">
        <f>'8. Entry- en exittarieven '!L122</f>
        <v>-1.8999999999999998E-6</v>
      </c>
      <c r="M45" s="33"/>
      <c r="N45" s="112"/>
      <c r="O45" s="116"/>
      <c r="P45" s="110">
        <f>'8. Entry- en exittarieven '!P122</f>
        <v>-2.9257000000000003E-4</v>
      </c>
      <c r="Q45" s="110">
        <f>'8. Entry- en exittarieven '!Q122</f>
        <v>-1.1379999999999999E-5</v>
      </c>
      <c r="R45" s="110">
        <f>'8. Entry- en exittarieven '!R122</f>
        <v>-4.7999999999999996E-7</v>
      </c>
    </row>
    <row r="46" spans="2:24">
      <c r="H46" s="54"/>
      <c r="I46" s="58"/>
      <c r="J46" s="59"/>
      <c r="K46" s="59"/>
      <c r="L46" s="79"/>
      <c r="N46" s="54"/>
      <c r="O46" s="58"/>
      <c r="P46" s="59"/>
      <c r="Q46" s="59"/>
      <c r="R46" s="84"/>
    </row>
    <row r="47" spans="2:24" s="20" customFormat="1" ht="28.5" customHeight="1">
      <c r="B47" s="53" t="s">
        <v>37</v>
      </c>
      <c r="H47" s="20" t="s">
        <v>9</v>
      </c>
      <c r="L47" s="68"/>
      <c r="N47" s="20" t="s">
        <v>10</v>
      </c>
      <c r="R47" s="85"/>
      <c r="T47" s="20" t="s">
        <v>11</v>
      </c>
    </row>
    <row r="48" spans="2:24" s="22" customFormat="1">
      <c r="B48" s="22" t="s">
        <v>38</v>
      </c>
      <c r="H48" s="22" t="s">
        <v>13</v>
      </c>
      <c r="I48" s="22" t="s">
        <v>14</v>
      </c>
      <c r="J48" s="22" t="s">
        <v>15</v>
      </c>
      <c r="K48" s="22" t="s">
        <v>16</v>
      </c>
      <c r="L48" s="69" t="s">
        <v>17</v>
      </c>
      <c r="N48" s="22" t="s">
        <v>13</v>
      </c>
      <c r="O48" s="22" t="s">
        <v>14</v>
      </c>
      <c r="P48" s="22" t="s">
        <v>15</v>
      </c>
      <c r="Q48" s="22" t="s">
        <v>16</v>
      </c>
      <c r="R48" s="86" t="s">
        <v>17</v>
      </c>
      <c r="T48" s="22" t="s">
        <v>13</v>
      </c>
      <c r="U48" s="22" t="s">
        <v>14</v>
      </c>
      <c r="V48" s="22" t="s">
        <v>15</v>
      </c>
      <c r="W48" s="22" t="s">
        <v>16</v>
      </c>
      <c r="X48" s="22" t="s">
        <v>17</v>
      </c>
    </row>
    <row r="49" spans="2:24" s="21" customFormat="1">
      <c r="H49" s="21" t="s">
        <v>18</v>
      </c>
      <c r="I49" s="21" t="s">
        <v>19</v>
      </c>
      <c r="J49" s="21" t="s">
        <v>20</v>
      </c>
      <c r="K49" s="21" t="s">
        <v>21</v>
      </c>
      <c r="L49" s="70" t="s">
        <v>22</v>
      </c>
      <c r="N49" s="21" t="s">
        <v>18</v>
      </c>
      <c r="O49" s="21" t="s">
        <v>19</v>
      </c>
      <c r="P49" s="21" t="s">
        <v>20</v>
      </c>
      <c r="Q49" s="21" t="s">
        <v>21</v>
      </c>
      <c r="R49" s="87" t="s">
        <v>22</v>
      </c>
      <c r="T49" s="21" t="s">
        <v>18</v>
      </c>
      <c r="U49" s="21" t="s">
        <v>19</v>
      </c>
      <c r="V49" s="21" t="s">
        <v>20</v>
      </c>
      <c r="W49" s="21" t="s">
        <v>21</v>
      </c>
      <c r="X49" s="21" t="s">
        <v>22</v>
      </c>
    </row>
    <row r="50" spans="2:24">
      <c r="J50" s="38"/>
      <c r="L50" s="67"/>
      <c r="R50" s="88"/>
    </row>
    <row r="51" spans="2:24">
      <c r="B51" s="3" t="s">
        <v>23</v>
      </c>
      <c r="H51" s="112">
        <f>'8. Entry- en exittarieven '!H129</f>
        <v>-7.3776900000000001E-3</v>
      </c>
      <c r="I51" s="116">
        <f>'8. Entry- en exittarieven '!I129</f>
        <v>-3.3699899999999998E-3</v>
      </c>
      <c r="J51" s="110">
        <f>'8. Entry- en exittarieven '!J129</f>
        <v>-1.61192E-3</v>
      </c>
      <c r="K51" s="110">
        <f>'8. Entry- en exittarieven '!K129</f>
        <v>-6.2719999999999996E-5</v>
      </c>
      <c r="L51" s="110">
        <f>'8. Entry- en exittarieven '!L129</f>
        <v>-2.6199999999999999E-6</v>
      </c>
      <c r="N51" s="112">
        <f>'8. Entry- en exittarieven '!N129</f>
        <v>-1.84442E-3</v>
      </c>
      <c r="O51" s="116">
        <f>'8. Entry- en exittarieven '!O129</f>
        <v>-8.4250000000000004E-4</v>
      </c>
      <c r="P51" s="110">
        <f>'8. Entry- en exittarieven '!P129</f>
        <v>-4.0297999999999999E-4</v>
      </c>
      <c r="Q51" s="110">
        <f>'8. Entry- en exittarieven '!Q129</f>
        <v>-1.5679999999999999E-5</v>
      </c>
      <c r="R51" s="110">
        <f>'8. Entry- en exittarieven '!R129</f>
        <v>-6.6000000000000003E-7</v>
      </c>
      <c r="T51" s="112">
        <f>'8. Entry- en exittarieven '!T129</f>
        <v>-5.9021500000000001E-3</v>
      </c>
      <c r="U51" s="116">
        <f>'8. Entry- en exittarieven '!U129</f>
        <v>-2.6959900000000001E-3</v>
      </c>
      <c r="V51" s="110">
        <f>'8. Entry- en exittarieven '!V129</f>
        <v>-1.28954E-3</v>
      </c>
      <c r="W51" s="110">
        <f>'8. Entry- en exittarieven '!W129</f>
        <v>-5.0170000000000002E-5</v>
      </c>
      <c r="X51" s="110">
        <f>'8. Entry- en exittarieven '!X129</f>
        <v>-2.0999999999999998E-6</v>
      </c>
    </row>
    <row r="52" spans="2:24">
      <c r="B52" s="3" t="s">
        <v>24</v>
      </c>
      <c r="H52" s="112"/>
      <c r="I52" s="116"/>
      <c r="J52" s="110">
        <f>'8. Entry- en exittarieven '!J130</f>
        <v>-1.3014299999999999E-3</v>
      </c>
      <c r="K52" s="110">
        <f>'8. Entry- en exittarieven '!K130</f>
        <v>-5.6069999999999997E-5</v>
      </c>
      <c r="L52" s="110">
        <f>'8. Entry- en exittarieven '!L130</f>
        <v>-2.34E-6</v>
      </c>
      <c r="N52" s="112"/>
      <c r="O52" s="116"/>
      <c r="P52" s="110">
        <f>'8. Entry- en exittarieven '!P130</f>
        <v>-3.2536000000000002E-4</v>
      </c>
      <c r="Q52" s="110">
        <f>'8. Entry- en exittarieven '!Q130</f>
        <v>-1.402E-5</v>
      </c>
      <c r="R52" s="110">
        <f>'8. Entry- en exittarieven '!R130</f>
        <v>-5.8999999999999996E-7</v>
      </c>
      <c r="T52" s="112"/>
      <c r="U52" s="116"/>
      <c r="V52" s="110">
        <f>'8. Entry- en exittarieven '!V130</f>
        <v>-1.0411400000000001E-3</v>
      </c>
      <c r="W52" s="110">
        <f>'8. Entry- en exittarieven '!W130</f>
        <v>-4.4849999999999999E-5</v>
      </c>
      <c r="X52" s="110">
        <f>'8. Entry- en exittarieven '!X130</f>
        <v>-1.8699999999999999E-6</v>
      </c>
    </row>
    <row r="53" spans="2:24">
      <c r="B53" s="3" t="s">
        <v>25</v>
      </c>
      <c r="H53" s="112"/>
      <c r="I53" s="116"/>
      <c r="J53" s="110">
        <f>'8. Entry- en exittarieven '!J131</f>
        <v>-1.1269400000000001E-3</v>
      </c>
      <c r="K53" s="110">
        <f>'8. Entry- en exittarieven '!K131</f>
        <v>-4.3829999999999999E-5</v>
      </c>
      <c r="L53" s="110">
        <f>'8. Entry- en exittarieven '!L131</f>
        <v>-1.8299999999999998E-6</v>
      </c>
      <c r="N53" s="112"/>
      <c r="O53" s="116"/>
      <c r="P53" s="110">
        <f>'8. Entry- en exittarieven '!P131</f>
        <v>-2.8173E-4</v>
      </c>
      <c r="Q53" s="110">
        <f>'8. Entry- en exittarieven '!Q131</f>
        <v>-1.096E-5</v>
      </c>
      <c r="R53" s="110">
        <f>'8. Entry- en exittarieven '!R131</f>
        <v>-4.5999999999999999E-7</v>
      </c>
      <c r="T53" s="112"/>
      <c r="U53" s="116"/>
      <c r="V53" s="110">
        <f>'8. Entry- en exittarieven '!V131</f>
        <v>-9.0154999999999999E-4</v>
      </c>
      <c r="W53" s="110">
        <f>'8. Entry- en exittarieven '!W131</f>
        <v>-3.506E-5</v>
      </c>
      <c r="X53" s="110">
        <f>'8. Entry- en exittarieven '!X131</f>
        <v>-1.4699999999999999E-6</v>
      </c>
    </row>
    <row r="54" spans="2:24">
      <c r="B54" s="3" t="s">
        <v>26</v>
      </c>
      <c r="H54" s="112"/>
      <c r="I54" s="116">
        <f>'8. Entry- en exittarieven '!I132</f>
        <v>-1.80258E-3</v>
      </c>
      <c r="J54" s="110">
        <f>'8. Entry- en exittarieven '!J132</f>
        <v>-8.1315999999999995E-4</v>
      </c>
      <c r="K54" s="110">
        <f>'8. Entry- en exittarieven '!K132</f>
        <v>-3.2679999999999999E-5</v>
      </c>
      <c r="L54" s="110">
        <f>'8. Entry- en exittarieven '!L132</f>
        <v>-1.3699999999999998E-6</v>
      </c>
      <c r="N54" s="112"/>
      <c r="O54" s="116">
        <f>'8. Entry- en exittarieven '!O132</f>
        <v>-4.5064999999999998E-4</v>
      </c>
      <c r="P54" s="110">
        <f>'8. Entry- en exittarieven '!P132</f>
        <v>-2.0328999999999999E-4</v>
      </c>
      <c r="Q54" s="110">
        <f>'8. Entry- en exittarieven '!Q132</f>
        <v>-8.1699999999999997E-6</v>
      </c>
      <c r="R54" s="110">
        <f>'8. Entry- en exittarieven '!R132</f>
        <v>-3.4999999999999998E-7</v>
      </c>
      <c r="T54" s="112"/>
      <c r="U54" s="116">
        <f>'8. Entry- en exittarieven '!U132</f>
        <v>-1.4420699999999999E-3</v>
      </c>
      <c r="V54" s="110">
        <f>'8. Entry- en exittarieven '!V132</f>
        <v>-6.5052999999999997E-4</v>
      </c>
      <c r="W54" s="110">
        <f>'8. Entry- en exittarieven '!W132</f>
        <v>-2.6149999999999999E-5</v>
      </c>
      <c r="X54" s="110">
        <f>'8. Entry- en exittarieven '!X132</f>
        <v>-1.0899999999999999E-6</v>
      </c>
    </row>
    <row r="55" spans="2:24">
      <c r="B55" s="3" t="s">
        <v>27</v>
      </c>
      <c r="H55" s="112"/>
      <c r="I55" s="116"/>
      <c r="J55" s="110">
        <f>'8. Entry- en exittarieven '!J133</f>
        <v>-7.4439999999999999E-4</v>
      </c>
      <c r="K55" s="110">
        <f>'8. Entry- en exittarieven '!K133</f>
        <v>-2.8969999999999999E-5</v>
      </c>
      <c r="L55" s="110">
        <f>'8. Entry- en exittarieven '!L133</f>
        <v>-1.2099999999999998E-6</v>
      </c>
      <c r="N55" s="112"/>
      <c r="O55" s="116"/>
      <c r="P55" s="110">
        <f>'8. Entry- en exittarieven '!P133</f>
        <v>-1.861E-4</v>
      </c>
      <c r="Q55" s="110">
        <f>'8. Entry- en exittarieven '!Q133</f>
        <v>-7.2400000000000001E-6</v>
      </c>
      <c r="R55" s="110">
        <f>'8. Entry- en exittarieven '!R133</f>
        <v>-3.1E-7</v>
      </c>
      <c r="T55" s="112"/>
      <c r="U55" s="116"/>
      <c r="V55" s="110">
        <f>'8. Entry- en exittarieven '!V133</f>
        <v>-5.9551999999999999E-4</v>
      </c>
      <c r="W55" s="110">
        <f>'8. Entry- en exittarieven '!W133</f>
        <v>-2.3180000000000002E-5</v>
      </c>
      <c r="X55" s="110">
        <f>'8. Entry- en exittarieven '!X133</f>
        <v>-9.6999999999999982E-7</v>
      </c>
    </row>
    <row r="56" spans="2:24">
      <c r="B56" s="3" t="s">
        <v>28</v>
      </c>
      <c r="H56" s="112"/>
      <c r="I56" s="116"/>
      <c r="J56" s="110">
        <f>'8. Entry- en exittarieven '!J134</f>
        <v>-6.0486999999999997E-4</v>
      </c>
      <c r="K56" s="110">
        <f>'8. Entry- en exittarieven '!K134</f>
        <v>-2.4340000000000001E-5</v>
      </c>
      <c r="L56" s="110">
        <f>'8. Entry- en exittarieven '!L134</f>
        <v>-1.02E-6</v>
      </c>
      <c r="N56" s="112"/>
      <c r="O56" s="116"/>
      <c r="P56" s="110">
        <f>'8. Entry- en exittarieven '!P134</f>
        <v>-1.5122000000000001E-4</v>
      </c>
      <c r="Q56" s="110">
        <f>'8. Entry- en exittarieven '!Q134</f>
        <v>-6.0800000000000002E-6</v>
      </c>
      <c r="R56" s="110">
        <f>'8. Entry- en exittarieven '!R134</f>
        <v>-2.6E-7</v>
      </c>
      <c r="T56" s="112"/>
      <c r="U56" s="116"/>
      <c r="V56" s="110">
        <f>'8. Entry- en exittarieven '!V134</f>
        <v>-4.839E-4</v>
      </c>
      <c r="W56" s="110">
        <f>'8. Entry- en exittarieven '!W134</f>
        <v>-1.9470000000000002E-5</v>
      </c>
      <c r="X56" s="110">
        <f>'8. Entry- en exittarieven '!X134</f>
        <v>-8.1999999999999998E-7</v>
      </c>
    </row>
    <row r="57" spans="2:24">
      <c r="B57" s="3" t="s">
        <v>29</v>
      </c>
      <c r="H57" s="112"/>
      <c r="I57" s="116">
        <f>'8. Entry- en exittarieven '!I135</f>
        <v>-1.4621E-3</v>
      </c>
      <c r="J57" s="110">
        <f>'8. Entry- en exittarieven '!J135</f>
        <v>-5.9026E-4</v>
      </c>
      <c r="K57" s="110">
        <f>'8. Entry- en exittarieven '!K135</f>
        <v>-2.296E-5</v>
      </c>
      <c r="L57" s="110">
        <f>'8. Entry- en exittarieven '!L135</f>
        <v>-9.5999999999999991E-7</v>
      </c>
      <c r="N57" s="112"/>
      <c r="O57" s="116">
        <f>'8. Entry- en exittarieven '!O135</f>
        <v>-3.6551999999999998E-4</v>
      </c>
      <c r="P57" s="110">
        <f>'8. Entry- en exittarieven '!P135</f>
        <v>-1.4756E-4</v>
      </c>
      <c r="Q57" s="110">
        <f>'8. Entry- en exittarieven '!Q135</f>
        <v>-5.7400000000000001E-6</v>
      </c>
      <c r="R57" s="110">
        <f>'8. Entry- en exittarieven '!R135</f>
        <v>-2.3999999999999998E-7</v>
      </c>
      <c r="T57" s="112"/>
      <c r="U57" s="116">
        <f>'8. Entry- en exittarieven '!U135</f>
        <v>-1.16968E-3</v>
      </c>
      <c r="V57" s="110">
        <f>'8. Entry- en exittarieven '!V135</f>
        <v>-4.7219999999999999E-4</v>
      </c>
      <c r="W57" s="110">
        <f>'8. Entry- en exittarieven '!W135</f>
        <v>-1.8369999999999999E-5</v>
      </c>
      <c r="X57" s="110">
        <f>'8. Entry- en exittarieven '!X135</f>
        <v>-7.7000000000000004E-7</v>
      </c>
    </row>
    <row r="58" spans="2:24">
      <c r="B58" s="3" t="s">
        <v>30</v>
      </c>
      <c r="H58" s="112"/>
      <c r="I58" s="116"/>
      <c r="J58" s="110">
        <f>'8. Entry- en exittarieven '!J136</f>
        <v>-5.6112000000000002E-4</v>
      </c>
      <c r="K58" s="110">
        <f>'8. Entry- en exittarieven '!K136</f>
        <v>-2.1860000000000001E-5</v>
      </c>
      <c r="L58" s="110">
        <f>'8. Entry- en exittarieven '!L136</f>
        <v>-9.1999999999999998E-7</v>
      </c>
      <c r="N58" s="112"/>
      <c r="O58" s="116"/>
      <c r="P58" s="110">
        <f>'8. Entry- en exittarieven '!P136</f>
        <v>-1.4028000000000001E-4</v>
      </c>
      <c r="Q58" s="110">
        <f>'8. Entry- en exittarieven '!Q136</f>
        <v>-5.4700000000000001E-6</v>
      </c>
      <c r="R58" s="110">
        <f>'8. Entry- en exittarieven '!R136</f>
        <v>-2.3000000000000002E-7</v>
      </c>
      <c r="T58" s="112"/>
      <c r="U58" s="116"/>
      <c r="V58" s="110">
        <f>'8. Entry- en exittarieven '!V136</f>
        <v>-4.4890000000000002E-4</v>
      </c>
      <c r="W58" s="110">
        <f>'8. Entry- en exittarieven '!W136</f>
        <v>-1.749E-5</v>
      </c>
      <c r="X58" s="110">
        <f>'8. Entry- en exittarieven '!X136</f>
        <v>-7.3E-7</v>
      </c>
    </row>
    <row r="59" spans="2:24">
      <c r="B59" s="3" t="s">
        <v>31</v>
      </c>
      <c r="H59" s="112"/>
      <c r="I59" s="116"/>
      <c r="J59" s="110">
        <f>'8. Entry- en exittarieven '!J137</f>
        <v>-6.0305000000000005E-4</v>
      </c>
      <c r="K59" s="110">
        <f>'8. Entry- en exittarieven '!K137</f>
        <v>-2.427E-5</v>
      </c>
      <c r="L59" s="110">
        <f>'8. Entry- en exittarieven '!L137</f>
        <v>-1.02E-6</v>
      </c>
      <c r="N59" s="112"/>
      <c r="O59" s="116"/>
      <c r="P59" s="110">
        <f>'8. Entry- en exittarieven '!P137</f>
        <v>-1.5076E-4</v>
      </c>
      <c r="Q59" s="110">
        <f>'8. Entry- en exittarieven '!Q137</f>
        <v>-6.0700000000000003E-6</v>
      </c>
      <c r="R59" s="110">
        <f>'8. Entry- en exittarieven '!R137</f>
        <v>-2.6E-7</v>
      </c>
      <c r="T59" s="112"/>
      <c r="U59" s="116"/>
      <c r="V59" s="110">
        <f>'8. Entry- en exittarieven '!V137</f>
        <v>-4.8244E-4</v>
      </c>
      <c r="W59" s="110">
        <f>'8. Entry- en exittarieven '!W137</f>
        <v>-1.9409999999999999E-5</v>
      </c>
      <c r="X59" s="110">
        <f>'8. Entry- en exittarieven '!X137</f>
        <v>-8.0999999999999997E-7</v>
      </c>
    </row>
    <row r="60" spans="2:24">
      <c r="B60" s="3" t="s">
        <v>32</v>
      </c>
      <c r="H60" s="112"/>
      <c r="I60" s="116">
        <f>'8. Entry- en exittarieven '!I138</f>
        <v>-2.5685500000000002E-3</v>
      </c>
      <c r="J60" s="110">
        <f>'8. Entry- en exittarieven '!J138</f>
        <v>-7.1526000000000001E-4</v>
      </c>
      <c r="K60" s="110">
        <f>'8. Entry- en exittarieven '!K138</f>
        <v>-2.7840000000000001E-5</v>
      </c>
      <c r="L60" s="110">
        <f>'8. Entry- en exittarieven '!L138</f>
        <v>-1.1599999999999999E-6</v>
      </c>
      <c r="N60" s="112"/>
      <c r="O60" s="116">
        <f>'8. Entry- en exittarieven '!O138</f>
        <v>-6.4214000000000003E-4</v>
      </c>
      <c r="P60" s="110">
        <f>'8. Entry- en exittarieven '!P138</f>
        <v>-1.7882E-4</v>
      </c>
      <c r="Q60" s="110">
        <f>'8. Entry- en exittarieven '!Q138</f>
        <v>-6.9600000000000003E-6</v>
      </c>
      <c r="R60" s="110">
        <f>'8. Entry- en exittarieven '!R138</f>
        <v>-2.9000000000000003E-7</v>
      </c>
      <c r="T60" s="112"/>
      <c r="U60" s="116">
        <f>'8. Entry- en exittarieven '!U138</f>
        <v>-2.0548400000000001E-3</v>
      </c>
      <c r="V60" s="110">
        <f>'8. Entry- en exittarieven '!V138</f>
        <v>-5.7220999999999997E-4</v>
      </c>
      <c r="W60" s="110">
        <f>'8. Entry- en exittarieven '!W138</f>
        <v>-2.2269999999999999E-5</v>
      </c>
      <c r="X60" s="110">
        <f>'8. Entry- en exittarieven '!X138</f>
        <v>-9.2999999999999999E-7</v>
      </c>
    </row>
    <row r="61" spans="2:24">
      <c r="B61" s="3" t="s">
        <v>33</v>
      </c>
      <c r="H61" s="112"/>
      <c r="I61" s="116"/>
      <c r="J61" s="110">
        <f>'8. Entry- en exittarieven '!J139</f>
        <v>-1.02782E-3</v>
      </c>
      <c r="K61" s="110">
        <f>'8. Entry- en exittarieven '!K139</f>
        <v>-4.1319999999999997E-5</v>
      </c>
      <c r="L61" s="110">
        <f>'8. Entry- en exittarieven '!L139</f>
        <v>-1.73E-6</v>
      </c>
      <c r="N61" s="112"/>
      <c r="O61" s="116"/>
      <c r="P61" s="110">
        <f>'8. Entry- en exittarieven '!P139</f>
        <v>-2.5695999999999998E-4</v>
      </c>
      <c r="Q61" s="110">
        <f>'8. Entry- en exittarieven '!Q139</f>
        <v>-1.0329999999999999E-5</v>
      </c>
      <c r="R61" s="110">
        <f>'8. Entry- en exittarieven '!R139</f>
        <v>-4.4000000000000002E-7</v>
      </c>
      <c r="T61" s="112"/>
      <c r="U61" s="116"/>
      <c r="V61" s="110">
        <f>'8. Entry- en exittarieven '!V139</f>
        <v>-8.2226E-4</v>
      </c>
      <c r="W61" s="110">
        <f>'8. Entry- en exittarieven '!W139</f>
        <v>-3.3049999999999997E-5</v>
      </c>
      <c r="X61" s="110">
        <f>'8. Entry- en exittarieven '!X139</f>
        <v>-1.3799999999999999E-6</v>
      </c>
    </row>
    <row r="62" spans="2:24">
      <c r="B62" s="3" t="s">
        <v>34</v>
      </c>
      <c r="H62" s="112"/>
      <c r="I62" s="116"/>
      <c r="J62" s="110">
        <f>'8. Entry- en exittarieven '!J140</f>
        <v>-1.3384099999999999E-3</v>
      </c>
      <c r="K62" s="110">
        <f>'8. Entry- en exittarieven '!K140</f>
        <v>-5.2070000000000001E-5</v>
      </c>
      <c r="L62" s="110">
        <f>'8. Entry- en exittarieven '!L140</f>
        <v>-2.17E-6</v>
      </c>
      <c r="N62" s="112"/>
      <c r="O62" s="116"/>
      <c r="P62" s="110">
        <f>'8. Entry- en exittarieven '!P140</f>
        <v>-3.346E-4</v>
      </c>
      <c r="Q62" s="110">
        <f>'8. Entry- en exittarieven '!Q140</f>
        <v>-1.3020000000000001E-5</v>
      </c>
      <c r="R62" s="110">
        <f>'8. Entry- en exittarieven '!R140</f>
        <v>-5.5000000000000003E-7</v>
      </c>
      <c r="T62" s="112"/>
      <c r="U62" s="116"/>
      <c r="V62" s="110">
        <f>'8. Entry- en exittarieven '!V140</f>
        <v>-1.07073E-3</v>
      </c>
      <c r="W62" s="110">
        <f>'8. Entry- en exittarieven '!W140</f>
        <v>-4.1650000000000003E-5</v>
      </c>
      <c r="X62" s="110">
        <f>'8. Entry- en exittarieven '!X140</f>
        <v>-1.7399999999999999E-6</v>
      </c>
    </row>
    <row r="63" spans="2:24">
      <c r="L63" s="67"/>
      <c r="R63" s="88"/>
    </row>
    <row r="64" spans="2:24" s="20" customFormat="1" ht="28.5" customHeight="1">
      <c r="B64" s="53" t="s">
        <v>39</v>
      </c>
      <c r="H64" s="20" t="s">
        <v>9</v>
      </c>
      <c r="L64" s="68"/>
      <c r="N64" s="20" t="s">
        <v>10</v>
      </c>
      <c r="R64" s="85"/>
    </row>
    <row r="65" spans="2:18" s="22" customFormat="1">
      <c r="B65" s="22" t="s">
        <v>40</v>
      </c>
      <c r="H65" s="22" t="s">
        <v>13</v>
      </c>
      <c r="I65" s="22" t="s">
        <v>14</v>
      </c>
      <c r="J65" s="22" t="s">
        <v>15</v>
      </c>
      <c r="K65" s="22" t="s">
        <v>16</v>
      </c>
      <c r="L65" s="69" t="s">
        <v>17</v>
      </c>
      <c r="N65" s="22" t="s">
        <v>13</v>
      </c>
      <c r="O65" s="22" t="s">
        <v>14</v>
      </c>
      <c r="P65" s="22" t="s">
        <v>15</v>
      </c>
      <c r="Q65" s="22" t="s">
        <v>16</v>
      </c>
      <c r="R65" s="86" t="s">
        <v>17</v>
      </c>
    </row>
    <row r="66" spans="2:18" s="21" customFormat="1">
      <c r="H66" s="21" t="s">
        <v>18</v>
      </c>
      <c r="I66" s="21" t="s">
        <v>19</v>
      </c>
      <c r="J66" s="21" t="s">
        <v>20</v>
      </c>
      <c r="K66" s="21" t="s">
        <v>21</v>
      </c>
      <c r="L66" s="70" t="s">
        <v>22</v>
      </c>
      <c r="N66" s="21" t="s">
        <v>18</v>
      </c>
      <c r="O66" s="21" t="s">
        <v>19</v>
      </c>
      <c r="P66" s="21" t="s">
        <v>20</v>
      </c>
      <c r="Q66" s="21" t="s">
        <v>21</v>
      </c>
      <c r="R66" s="87" t="s">
        <v>22</v>
      </c>
    </row>
    <row r="67" spans="2:18">
      <c r="L67" s="67"/>
      <c r="R67" s="88"/>
    </row>
    <row r="68" spans="2:18">
      <c r="B68" s="3" t="s">
        <v>23</v>
      </c>
      <c r="H68" s="112">
        <f>'8. Entry- en exittarieven '!H146</f>
        <v>-6.4503E-3</v>
      </c>
      <c r="I68" s="116">
        <f>'8. Entry- en exittarieven '!I146</f>
        <v>-2.9463699999999998E-3</v>
      </c>
      <c r="J68" s="110">
        <f>'8. Entry- en exittarieven '!J146</f>
        <v>-1.4093E-3</v>
      </c>
      <c r="K68" s="110">
        <f>'8. Entry- en exittarieven '!K146</f>
        <v>-5.4830000000000002E-5</v>
      </c>
      <c r="L68" s="110">
        <f>'8. Entry- en exittarieven '!L146</f>
        <v>-2.2900000000000001E-6</v>
      </c>
      <c r="N68" s="112">
        <f>'8. Entry- en exittarieven '!N146</f>
        <v>-1.61257E-3</v>
      </c>
      <c r="O68" s="116">
        <f>'8. Entry- en exittarieven '!O146</f>
        <v>-7.3658999999999997E-4</v>
      </c>
      <c r="P68" s="110">
        <f>'8. Entry- en exittarieven '!P146</f>
        <v>-3.5232999999999998E-4</v>
      </c>
      <c r="Q68" s="110">
        <f>'8. Entry- en exittarieven '!Q146</f>
        <v>-1.3709999999999999E-5</v>
      </c>
      <c r="R68" s="110">
        <f>'8. Entry- en exittarieven '!R146</f>
        <v>-5.8000000000000006E-7</v>
      </c>
    </row>
    <row r="69" spans="2:18">
      <c r="B69" s="3" t="s">
        <v>24</v>
      </c>
      <c r="H69" s="112"/>
      <c r="I69" s="116"/>
      <c r="J69" s="110">
        <f>'8. Entry- en exittarieven '!J147</f>
        <v>-1.13783E-3</v>
      </c>
      <c r="K69" s="110">
        <f>'8. Entry- en exittarieven '!K147</f>
        <v>-4.9020000000000002E-5</v>
      </c>
      <c r="L69" s="110">
        <f>'8. Entry- en exittarieven '!L147</f>
        <v>-2.0499999999999999E-6</v>
      </c>
      <c r="N69" s="112"/>
      <c r="O69" s="116"/>
      <c r="P69" s="110">
        <f>'8. Entry- en exittarieven '!P147</f>
        <v>-2.8446E-4</v>
      </c>
      <c r="Q69" s="110">
        <f>'8. Entry- en exittarieven '!Q147</f>
        <v>-1.225E-5</v>
      </c>
      <c r="R69" s="110">
        <f>'8. Entry- en exittarieven '!R147</f>
        <v>-5.2E-7</v>
      </c>
    </row>
    <row r="70" spans="2:18">
      <c r="B70" s="3" t="s">
        <v>25</v>
      </c>
      <c r="H70" s="112"/>
      <c r="I70" s="116"/>
      <c r="J70" s="110">
        <f>'8. Entry- en exittarieven '!J148</f>
        <v>-9.8528000000000005E-4</v>
      </c>
      <c r="K70" s="110">
        <f>'8. Entry- en exittarieven '!K148</f>
        <v>-3.8319999999999999E-5</v>
      </c>
      <c r="L70" s="110">
        <f>'8. Entry- en exittarieven '!L148</f>
        <v>-1.5999999999999999E-6</v>
      </c>
      <c r="N70" s="112"/>
      <c r="O70" s="116"/>
      <c r="P70" s="110">
        <f>'8. Entry- en exittarieven '!P148</f>
        <v>-2.4632000000000001E-4</v>
      </c>
      <c r="Q70" s="110">
        <f>'8. Entry- en exittarieven '!Q148</f>
        <v>-9.5799999999999998E-6</v>
      </c>
      <c r="R70" s="110">
        <f>'8. Entry- en exittarieven '!R148</f>
        <v>-4.0000000000000003E-7</v>
      </c>
    </row>
    <row r="71" spans="2:18">
      <c r="B71" s="3" t="s">
        <v>26</v>
      </c>
      <c r="H71" s="112"/>
      <c r="I71" s="116">
        <f>'8. Entry- en exittarieven '!I149</f>
        <v>-1.57599E-3</v>
      </c>
      <c r="J71" s="110">
        <f>'8. Entry- en exittarieven '!J149</f>
        <v>-7.1095000000000002E-4</v>
      </c>
      <c r="K71" s="110">
        <f>'8. Entry- en exittarieven '!K149</f>
        <v>-2.8580000000000001E-5</v>
      </c>
      <c r="L71" s="110">
        <f>'8. Entry- en exittarieven '!L149</f>
        <v>-1.1999999999999999E-6</v>
      </c>
      <c r="N71" s="112"/>
      <c r="O71" s="116">
        <f>'8. Entry- en exittarieven '!O149</f>
        <v>-3.9399999999999998E-4</v>
      </c>
      <c r="P71" s="110">
        <f>'8. Entry- en exittarieven '!P149</f>
        <v>-1.7773999999999999E-4</v>
      </c>
      <c r="Q71" s="110">
        <f>'8. Entry- en exittarieven '!Q149</f>
        <v>-7.1400000000000002E-6</v>
      </c>
      <c r="R71" s="110">
        <f>'8. Entry- en exittarieven '!R149</f>
        <v>-2.9999999999999999E-7</v>
      </c>
    </row>
    <row r="72" spans="2:18">
      <c r="B72" s="3" t="s">
        <v>27</v>
      </c>
      <c r="H72" s="112"/>
      <c r="I72" s="116"/>
      <c r="J72" s="110">
        <f>'8. Entry- en exittarieven '!J150</f>
        <v>-6.5083000000000003E-4</v>
      </c>
      <c r="K72" s="110">
        <f>'8. Entry- en exittarieven '!K150</f>
        <v>-2.533E-5</v>
      </c>
      <c r="L72" s="110">
        <f>'8. Entry- en exittarieven '!L150</f>
        <v>-1.0599999999999998E-6</v>
      </c>
      <c r="N72" s="112"/>
      <c r="O72" s="116"/>
      <c r="P72" s="110">
        <f>'8. Entry- en exittarieven '!P150</f>
        <v>-1.6270999999999999E-4</v>
      </c>
      <c r="Q72" s="110">
        <f>'8. Entry- en exittarieven '!Q150</f>
        <v>-6.3300000000000004E-6</v>
      </c>
      <c r="R72" s="110">
        <f>'8. Entry- en exittarieven '!R150</f>
        <v>-2.7000000000000001E-7</v>
      </c>
    </row>
    <row r="73" spans="2:18">
      <c r="B73" s="3" t="s">
        <v>28</v>
      </c>
      <c r="H73" s="112"/>
      <c r="I73" s="116"/>
      <c r="J73" s="110">
        <f>'8. Entry- en exittarieven '!J151</f>
        <v>-5.2884000000000004E-4</v>
      </c>
      <c r="K73" s="110">
        <f>'8. Entry- en exittarieven '!K151</f>
        <v>-2.128E-5</v>
      </c>
      <c r="L73" s="110">
        <f>'8. Entry- en exittarieven '!L151</f>
        <v>-8.9000000000000006E-7</v>
      </c>
      <c r="N73" s="112"/>
      <c r="O73" s="116"/>
      <c r="P73" s="110">
        <f>'8. Entry- en exittarieven '!P151</f>
        <v>-1.3221000000000001E-4</v>
      </c>
      <c r="Q73" s="110">
        <f>'8. Entry- en exittarieven '!Q151</f>
        <v>-5.3199999999999999E-6</v>
      </c>
      <c r="R73" s="110">
        <f>'8. Entry- en exittarieven '!R151</f>
        <v>-2.3000000000000002E-7</v>
      </c>
    </row>
    <row r="74" spans="2:18">
      <c r="B74" s="3" t="s">
        <v>29</v>
      </c>
      <c r="H74" s="112"/>
      <c r="I74" s="116">
        <f>'8. Entry- en exittarieven '!I152</f>
        <v>-1.2783099999999999E-3</v>
      </c>
      <c r="J74" s="110">
        <f>'8. Entry- en exittarieven '!J152</f>
        <v>-5.1606000000000004E-4</v>
      </c>
      <c r="K74" s="110">
        <f>'8. Entry- en exittarieven '!K152</f>
        <v>-2.0069999999999999E-5</v>
      </c>
      <c r="L74" s="110">
        <f>'8. Entry- en exittarieven '!L152</f>
        <v>-8.4E-7</v>
      </c>
      <c r="N74" s="112"/>
      <c r="O74" s="116">
        <f>'8. Entry- en exittarieven '!O152</f>
        <v>-3.1958000000000003E-4</v>
      </c>
      <c r="P74" s="110">
        <f>'8. Entry- en exittarieven '!P152</f>
        <v>-1.2901000000000001E-4</v>
      </c>
      <c r="Q74" s="110">
        <f>'8. Entry- en exittarieven '!Q152</f>
        <v>-5.0200000000000002E-6</v>
      </c>
      <c r="R74" s="110">
        <f>'8. Entry- en exittarieven '!R152</f>
        <v>-2.1E-7</v>
      </c>
    </row>
    <row r="75" spans="2:18">
      <c r="B75" s="3" t="s">
        <v>30</v>
      </c>
      <c r="H75" s="112"/>
      <c r="I75" s="116"/>
      <c r="J75" s="110">
        <f>'8. Entry- en exittarieven '!J153</f>
        <v>-4.9058000000000001E-4</v>
      </c>
      <c r="K75" s="110">
        <f>'8. Entry- en exittarieven '!K153</f>
        <v>-1.9110000000000002E-5</v>
      </c>
      <c r="L75" s="110">
        <f>'8. Entry- en exittarieven '!L153</f>
        <v>-7.9999999999999996E-7</v>
      </c>
      <c r="N75" s="112"/>
      <c r="O75" s="116"/>
      <c r="P75" s="110">
        <f>'8. Entry- en exittarieven '!P153</f>
        <v>-1.2265E-4</v>
      </c>
      <c r="Q75" s="110">
        <f>'8. Entry- en exittarieven '!Q153</f>
        <v>-4.78E-6</v>
      </c>
      <c r="R75" s="110">
        <f>'8. Entry- en exittarieven '!R153</f>
        <v>-2.0000000000000002E-7</v>
      </c>
    </row>
    <row r="76" spans="2:18">
      <c r="B76" s="3" t="s">
        <v>31</v>
      </c>
      <c r="H76" s="112"/>
      <c r="I76" s="116"/>
      <c r="J76" s="110">
        <f>'8. Entry- en exittarieven '!J154</f>
        <v>-5.2725000000000005E-4</v>
      </c>
      <c r="K76" s="110">
        <f>'8. Entry- en exittarieven '!K154</f>
        <v>-2.122E-5</v>
      </c>
      <c r="L76" s="110">
        <f>'8. Entry- en exittarieven '!L154</f>
        <v>-8.9000000000000006E-7</v>
      </c>
      <c r="N76" s="112"/>
      <c r="O76" s="116"/>
      <c r="P76" s="110">
        <f>'8. Entry- en exittarieven '!P154</f>
        <v>-1.3181E-4</v>
      </c>
      <c r="Q76" s="110">
        <f>'8. Entry- en exittarieven '!Q154</f>
        <v>-5.3000000000000001E-6</v>
      </c>
      <c r="R76" s="110">
        <f>'8. Entry- en exittarieven '!R154</f>
        <v>-2.3000000000000002E-7</v>
      </c>
    </row>
    <row r="77" spans="2:18">
      <c r="B77" s="3" t="s">
        <v>32</v>
      </c>
      <c r="H77" s="112"/>
      <c r="I77" s="116">
        <f>'8. Entry- en exittarieven '!I155</f>
        <v>-2.2456799999999999E-3</v>
      </c>
      <c r="J77" s="110">
        <f>'8. Entry- en exittarieven '!J155</f>
        <v>-6.2534999999999999E-4</v>
      </c>
      <c r="K77" s="110">
        <f>'8. Entry- en exittarieven '!K155</f>
        <v>-2.4340000000000001E-5</v>
      </c>
      <c r="L77" s="110">
        <f>'8. Entry- en exittarieven '!L155</f>
        <v>-1.02E-6</v>
      </c>
      <c r="N77" s="112"/>
      <c r="O77" s="116">
        <f>'8. Entry- en exittarieven '!O155</f>
        <v>-5.6141999999999997E-4</v>
      </c>
      <c r="P77" s="110">
        <f>'8. Entry- en exittarieven '!P155</f>
        <v>-1.5634000000000001E-4</v>
      </c>
      <c r="Q77" s="110">
        <f>'8. Entry- en exittarieven '!Q155</f>
        <v>-6.0800000000000002E-6</v>
      </c>
      <c r="R77" s="110">
        <f>'8. Entry- en exittarieven '!R155</f>
        <v>-2.6E-7</v>
      </c>
    </row>
    <row r="78" spans="2:18">
      <c r="B78" s="3" t="s">
        <v>33</v>
      </c>
      <c r="H78" s="112"/>
      <c r="I78" s="116"/>
      <c r="J78" s="110">
        <f>'8. Entry- en exittarieven '!J156</f>
        <v>-8.9862000000000004E-4</v>
      </c>
      <c r="K78" s="110">
        <f>'8. Entry- en exittarieven '!K156</f>
        <v>-3.612E-5</v>
      </c>
      <c r="L78" s="110">
        <f>'8. Entry- en exittarieven '!L156</f>
        <v>-1.5099999999999999E-6</v>
      </c>
      <c r="N78" s="112"/>
      <c r="O78" s="116"/>
      <c r="P78" s="110">
        <f>'8. Entry- en exittarieven '!P156</f>
        <v>-2.2466000000000001E-4</v>
      </c>
      <c r="Q78" s="110">
        <f>'8. Entry- en exittarieven '!Q156</f>
        <v>-9.0299999999999999E-6</v>
      </c>
      <c r="R78" s="110">
        <f>'8. Entry- en exittarieven '!R156</f>
        <v>-3.8000000000000001E-7</v>
      </c>
    </row>
    <row r="79" spans="2:18">
      <c r="B79" s="3" t="s">
        <v>34</v>
      </c>
      <c r="H79" s="112"/>
      <c r="I79" s="116"/>
      <c r="J79" s="110">
        <f>'8. Entry- en exittarieven '!J157</f>
        <v>-1.1701700000000001E-3</v>
      </c>
      <c r="K79" s="110">
        <f>'8. Entry- en exittarieven '!K157</f>
        <v>-4.5519999999999998E-5</v>
      </c>
      <c r="L79" s="110">
        <f>'8. Entry- en exittarieven '!L157</f>
        <v>-1.8999999999999998E-6</v>
      </c>
      <c r="N79" s="112"/>
      <c r="O79" s="116"/>
      <c r="P79" s="110">
        <f>'8. Entry- en exittarieven '!P157</f>
        <v>-2.9253999999999999E-4</v>
      </c>
      <c r="Q79" s="110">
        <f>'8. Entry- en exittarieven '!Q157</f>
        <v>-1.1379999999999999E-5</v>
      </c>
      <c r="R79" s="110">
        <f>'8. Entry- en exittarieven '!R157</f>
        <v>-4.7999999999999996E-7</v>
      </c>
    </row>
    <row r="80" spans="2:18">
      <c r="L80" s="67"/>
      <c r="R80" s="88"/>
    </row>
  </sheetData>
  <mergeCells count="51">
    <mergeCell ref="H51:H62"/>
    <mergeCell ref="I51:I53"/>
    <mergeCell ref="N51:N62"/>
    <mergeCell ref="O51:O53"/>
    <mergeCell ref="I54:I56"/>
    <mergeCell ref="O54:O56"/>
    <mergeCell ref="I57:I59"/>
    <mergeCell ref="O57:O59"/>
    <mergeCell ref="I60:I62"/>
    <mergeCell ref="O60:O62"/>
    <mergeCell ref="T17:T28"/>
    <mergeCell ref="U17:U19"/>
    <mergeCell ref="U20:U22"/>
    <mergeCell ref="U23:U25"/>
    <mergeCell ref="U26:U28"/>
    <mergeCell ref="T51:T62"/>
    <mergeCell ref="U51:U53"/>
    <mergeCell ref="U54:U56"/>
    <mergeCell ref="U57:U59"/>
    <mergeCell ref="U60:U62"/>
    <mergeCell ref="H68:H79"/>
    <mergeCell ref="I68:I70"/>
    <mergeCell ref="N68:N79"/>
    <mergeCell ref="O68:O70"/>
    <mergeCell ref="I71:I73"/>
    <mergeCell ref="O71:O73"/>
    <mergeCell ref="I74:I76"/>
    <mergeCell ref="O74:O76"/>
    <mergeCell ref="I77:I79"/>
    <mergeCell ref="O77:O79"/>
    <mergeCell ref="B5:F5"/>
    <mergeCell ref="O37:O39"/>
    <mergeCell ref="O40:O42"/>
    <mergeCell ref="O43:O45"/>
    <mergeCell ref="H34:H45"/>
    <mergeCell ref="I34:I36"/>
    <mergeCell ref="I37:I39"/>
    <mergeCell ref="I40:I42"/>
    <mergeCell ref="I43:I45"/>
    <mergeCell ref="N34:N45"/>
    <mergeCell ref="O17:O19"/>
    <mergeCell ref="O20:O22"/>
    <mergeCell ref="O23:O25"/>
    <mergeCell ref="O26:O28"/>
    <mergeCell ref="O34:O36"/>
    <mergeCell ref="H17:H28"/>
    <mergeCell ref="N17:N28"/>
    <mergeCell ref="I17:I19"/>
    <mergeCell ref="I20:I22"/>
    <mergeCell ref="I23:I25"/>
    <mergeCell ref="I26:I28"/>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B5AE2ED-D294-4E98-97A0-9F98FFEF6A4B}">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A2:AG158"/>
  <sheetViews>
    <sheetView showGridLines="0" zoomScale="85" zoomScaleNormal="85" workbookViewId="0">
      <pane xSplit="4" ySplit="7" topLeftCell="E38" activePane="bottomRight" state="frozen"/>
      <selection pane="topRight"/>
      <selection pane="bottomLeft"/>
      <selection pane="bottomRight" activeCell="F77" sqref="F77"/>
    </sheetView>
  </sheetViews>
  <sheetFormatPr defaultColWidth="9.33203125" defaultRowHeight="13.2"/>
  <cols>
    <col min="1" max="1" width="2.6640625" style="3" customWidth="1"/>
    <col min="2" max="2" width="45.6640625" style="3" customWidth="1"/>
    <col min="3" max="3" width="2.6640625" style="3" customWidth="1"/>
    <col min="4" max="4" width="25.6640625" style="3" customWidth="1"/>
    <col min="5" max="5" width="2.6640625" style="3" customWidth="1"/>
    <col min="6" max="6" width="20" style="3" customWidth="1"/>
    <col min="7" max="7" width="2.6640625" style="3" customWidth="1"/>
    <col min="8" max="12" width="20.6640625" style="3" customWidth="1"/>
    <col min="13" max="13" width="2.6640625" style="3" customWidth="1"/>
    <col min="14" max="18" width="20.6640625" style="3" customWidth="1"/>
    <col min="19" max="19" width="5" style="3" customWidth="1"/>
    <col min="20" max="24" width="20.6640625" style="3" customWidth="1"/>
    <col min="25" max="25" width="8.33203125" style="3" customWidth="1"/>
    <col min="26" max="29" width="15.6640625" style="3" customWidth="1"/>
    <col min="30" max="32" width="2.6640625" style="3" customWidth="1"/>
    <col min="33" max="47" width="13.6640625" style="3" customWidth="1"/>
    <col min="48" max="16384" width="9.33203125" style="3"/>
  </cols>
  <sheetData>
    <row r="2" spans="2:26" s="7" customFormat="1" ht="17.399999999999999">
      <c r="B2" s="7" t="s">
        <v>166</v>
      </c>
    </row>
    <row r="4" spans="2:26">
      <c r="B4" s="10" t="s">
        <v>134</v>
      </c>
      <c r="C4" s="2"/>
    </row>
    <row r="5" spans="2:26">
      <c r="B5" s="114" t="s">
        <v>167</v>
      </c>
      <c r="C5" s="114"/>
      <c r="D5" s="114"/>
    </row>
    <row r="7" spans="2:26" s="5" customFormat="1">
      <c r="B7" s="5" t="s">
        <v>7</v>
      </c>
      <c r="D7" s="5" t="s">
        <v>44</v>
      </c>
      <c r="F7" s="5" t="s">
        <v>45</v>
      </c>
      <c r="Z7" s="5" t="s">
        <v>47</v>
      </c>
    </row>
    <row r="9" spans="2:26" s="5" customFormat="1">
      <c r="B9" s="5" t="s">
        <v>136</v>
      </c>
    </row>
    <row r="11" spans="2:26">
      <c r="B11" s="10" t="s">
        <v>69</v>
      </c>
    </row>
    <row r="12" spans="2:26">
      <c r="B12" s="3" t="s">
        <v>70</v>
      </c>
      <c r="F12" s="23">
        <f>'2. Parameters'!F35</f>
        <v>1.25</v>
      </c>
    </row>
    <row r="13" spans="2:26">
      <c r="B13" s="3" t="s">
        <v>71</v>
      </c>
      <c r="F13" s="23">
        <f>'2. Parameters'!F36</f>
        <v>1.5</v>
      </c>
    </row>
    <row r="14" spans="2:26">
      <c r="B14" s="3" t="s">
        <v>72</v>
      </c>
      <c r="F14" s="23">
        <f>'2. Parameters'!F37</f>
        <v>1.75</v>
      </c>
    </row>
    <row r="15" spans="2:26">
      <c r="B15" s="3" t="s">
        <v>73</v>
      </c>
      <c r="F15" s="23">
        <f>'2. Parameters'!F38</f>
        <v>1.75</v>
      </c>
    </row>
    <row r="17" spans="2:6">
      <c r="B17" s="2" t="s">
        <v>75</v>
      </c>
    </row>
    <row r="18" spans="2:6">
      <c r="B18" s="3" t="s">
        <v>76</v>
      </c>
      <c r="F18" s="23">
        <f>'2. Parameters'!F43</f>
        <v>1.482</v>
      </c>
    </row>
    <row r="19" spans="2:6">
      <c r="B19" s="3" t="s">
        <v>77</v>
      </c>
      <c r="F19" s="23">
        <f>'2. Parameters'!F44</f>
        <v>0.78400000000000003</v>
      </c>
    </row>
    <row r="20" spans="2:6">
      <c r="B20" s="3" t="s">
        <v>78</v>
      </c>
      <c r="F20" s="23">
        <f>'2. Parameters'!F45</f>
        <v>0.629</v>
      </c>
    </row>
    <row r="21" spans="2:6">
      <c r="B21" s="3" t="s">
        <v>79</v>
      </c>
      <c r="F21" s="23">
        <f>'2. Parameters'!F46</f>
        <v>1.105</v>
      </c>
    </row>
    <row r="23" spans="2:6">
      <c r="B23" s="2" t="s">
        <v>80</v>
      </c>
    </row>
    <row r="24" spans="2:6">
      <c r="B24" s="3" t="s">
        <v>23</v>
      </c>
      <c r="F24" s="23">
        <f>'2. Parameters'!F49</f>
        <v>1.7150000000000001</v>
      </c>
    </row>
    <row r="25" spans="2:6">
      <c r="B25" s="3" t="s">
        <v>24</v>
      </c>
      <c r="F25" s="23">
        <f>'2. Parameters'!F50</f>
        <v>1.5329999999999999</v>
      </c>
    </row>
    <row r="26" spans="2:6">
      <c r="B26" s="3" t="s">
        <v>25</v>
      </c>
      <c r="F26" s="23">
        <f>'2. Parameters'!F51</f>
        <v>1.1990000000000001</v>
      </c>
    </row>
    <row r="27" spans="2:6">
      <c r="B27" s="3" t="s">
        <v>26</v>
      </c>
      <c r="F27" s="23">
        <f>'2. Parameters'!F52</f>
        <v>0.89400000000000002</v>
      </c>
    </row>
    <row r="28" spans="2:6">
      <c r="B28" s="3" t="s">
        <v>27</v>
      </c>
      <c r="F28" s="23">
        <f>'2. Parameters'!F53</f>
        <v>0.79200000000000004</v>
      </c>
    </row>
    <row r="29" spans="2:6">
      <c r="B29" s="3" t="s">
        <v>28</v>
      </c>
      <c r="F29" s="23">
        <f>'2. Parameters'!F54</f>
        <v>0.66500000000000004</v>
      </c>
    </row>
    <row r="30" spans="2:6">
      <c r="B30" s="3" t="s">
        <v>29</v>
      </c>
      <c r="F30" s="23">
        <f>'2. Parameters'!F55</f>
        <v>0.628</v>
      </c>
    </row>
    <row r="31" spans="2:6">
      <c r="B31" s="3" t="s">
        <v>30</v>
      </c>
      <c r="F31" s="23">
        <f>'2. Parameters'!F56</f>
        <v>0.59699999999999998</v>
      </c>
    </row>
    <row r="32" spans="2:6">
      <c r="B32" s="3" t="s">
        <v>31</v>
      </c>
      <c r="F32" s="23">
        <f>'2. Parameters'!F57</f>
        <v>0.66300000000000003</v>
      </c>
    </row>
    <row r="33" spans="2:6">
      <c r="B33" s="3" t="s">
        <v>32</v>
      </c>
      <c r="F33" s="23">
        <f>'2. Parameters'!F58</f>
        <v>0.76100000000000001</v>
      </c>
    </row>
    <row r="34" spans="2:6">
      <c r="B34" s="3" t="s">
        <v>33</v>
      </c>
      <c r="F34" s="23">
        <f>'2. Parameters'!F59</f>
        <v>1.1299999999999999</v>
      </c>
    </row>
    <row r="35" spans="2:6">
      <c r="B35" s="3" t="s">
        <v>34</v>
      </c>
      <c r="F35" s="23">
        <f>'2. Parameters'!F60</f>
        <v>1.4239999999999999</v>
      </c>
    </row>
    <row r="37" spans="2:6">
      <c r="B37" s="2" t="s">
        <v>81</v>
      </c>
    </row>
    <row r="38" spans="2:6">
      <c r="B38" s="3" t="s">
        <v>23</v>
      </c>
      <c r="F38" s="30">
        <f>'2. Parameters'!F63</f>
        <v>1.7729999999999999</v>
      </c>
    </row>
    <row r="39" spans="2:6">
      <c r="B39" s="3" t="s">
        <v>24</v>
      </c>
      <c r="F39" s="30">
        <f>'2. Parameters'!F64</f>
        <v>1.585</v>
      </c>
    </row>
    <row r="40" spans="2:6">
      <c r="B40" s="3" t="s">
        <v>25</v>
      </c>
      <c r="F40" s="30">
        <f>'2. Parameters'!F65</f>
        <v>1.2390000000000001</v>
      </c>
    </row>
    <row r="41" spans="2:6">
      <c r="B41" s="3" t="s">
        <v>26</v>
      </c>
      <c r="F41" s="30">
        <f>'2. Parameters'!F66</f>
        <v>0.92400000000000004</v>
      </c>
    </row>
    <row r="42" spans="2:6">
      <c r="B42" s="3" t="s">
        <v>27</v>
      </c>
      <c r="F42" s="30">
        <f>'2. Parameters'!F67</f>
        <v>0.81899999999999995</v>
      </c>
    </row>
    <row r="43" spans="2:6">
      <c r="B43" s="3" t="s">
        <v>28</v>
      </c>
      <c r="F43" s="30">
        <f>'2. Parameters'!F68</f>
        <v>0.68799999999999994</v>
      </c>
    </row>
    <row r="44" spans="2:6">
      <c r="B44" s="3" t="s">
        <v>29</v>
      </c>
      <c r="F44" s="30">
        <f>'2. Parameters'!F69</f>
        <v>0.64900000000000002</v>
      </c>
    </row>
    <row r="45" spans="2:6">
      <c r="B45" s="3" t="s">
        <v>30</v>
      </c>
      <c r="F45" s="30">
        <f>'2. Parameters'!F70</f>
        <v>0.61799999999999999</v>
      </c>
    </row>
    <row r="46" spans="2:6">
      <c r="B46" s="3" t="s">
        <v>31</v>
      </c>
      <c r="F46" s="30">
        <f>'2. Parameters'!F71</f>
        <v>0.68600000000000005</v>
      </c>
    </row>
    <row r="47" spans="2:6">
      <c r="B47" s="3" t="s">
        <v>32</v>
      </c>
      <c r="F47" s="30">
        <f>'2. Parameters'!F72</f>
        <v>0.78700000000000003</v>
      </c>
    </row>
    <row r="48" spans="2:6">
      <c r="B48" s="3" t="s">
        <v>33</v>
      </c>
      <c r="F48" s="30">
        <f>'2. Parameters'!F73</f>
        <v>1.1679999999999999</v>
      </c>
    </row>
    <row r="49" spans="2:6">
      <c r="B49" s="3" t="s">
        <v>34</v>
      </c>
      <c r="F49" s="30">
        <f>'2. Parameters'!F74</f>
        <v>1.472</v>
      </c>
    </row>
    <row r="51" spans="2:6">
      <c r="B51" s="2" t="s">
        <v>83</v>
      </c>
    </row>
    <row r="52" spans="2:6">
      <c r="B52" s="3" t="s">
        <v>23</v>
      </c>
      <c r="F52" s="23">
        <f>'2. Parameters'!F79</f>
        <v>31</v>
      </c>
    </row>
    <row r="53" spans="2:6">
      <c r="B53" s="3" t="s">
        <v>24</v>
      </c>
      <c r="F53" s="23">
        <f>'2. Parameters'!F80</f>
        <v>28</v>
      </c>
    </row>
    <row r="54" spans="2:6">
      <c r="B54" s="3" t="s">
        <v>25</v>
      </c>
      <c r="F54" s="23">
        <f>'2. Parameters'!F81</f>
        <v>31</v>
      </c>
    </row>
    <row r="55" spans="2:6">
      <c r="B55" s="3" t="s">
        <v>26</v>
      </c>
      <c r="F55" s="23">
        <f>'2. Parameters'!F82</f>
        <v>30</v>
      </c>
    </row>
    <row r="56" spans="2:6">
      <c r="B56" s="3" t="s">
        <v>27</v>
      </c>
      <c r="F56" s="23">
        <f>'2. Parameters'!F83</f>
        <v>31</v>
      </c>
    </row>
    <row r="57" spans="2:6">
      <c r="B57" s="3" t="s">
        <v>28</v>
      </c>
      <c r="F57" s="23">
        <f>'2. Parameters'!F84</f>
        <v>30</v>
      </c>
    </row>
    <row r="58" spans="2:6">
      <c r="B58" s="3" t="s">
        <v>29</v>
      </c>
      <c r="F58" s="23">
        <f>'2. Parameters'!F85</f>
        <v>31</v>
      </c>
    </row>
    <row r="59" spans="2:6">
      <c r="B59" s="3" t="s">
        <v>30</v>
      </c>
      <c r="F59" s="23">
        <f>'2. Parameters'!F86</f>
        <v>31</v>
      </c>
    </row>
    <row r="60" spans="2:6">
      <c r="B60" s="3" t="s">
        <v>31</v>
      </c>
      <c r="F60" s="23">
        <f>'2. Parameters'!F87</f>
        <v>30</v>
      </c>
    </row>
    <row r="61" spans="2:6">
      <c r="B61" s="3" t="s">
        <v>32</v>
      </c>
      <c r="F61" s="23">
        <f>'2. Parameters'!F88</f>
        <v>31</v>
      </c>
    </row>
    <row r="62" spans="2:6">
      <c r="B62" s="3" t="s">
        <v>33</v>
      </c>
      <c r="F62" s="23">
        <f>'2. Parameters'!F89</f>
        <v>30</v>
      </c>
    </row>
    <row r="63" spans="2:6">
      <c r="B63" s="3" t="s">
        <v>34</v>
      </c>
      <c r="F63" s="23">
        <f>'2. Parameters'!F90</f>
        <v>31</v>
      </c>
    </row>
    <row r="65" spans="1:6">
      <c r="A65" s="8"/>
      <c r="B65" s="2" t="s">
        <v>84</v>
      </c>
    </row>
    <row r="66" spans="1:6">
      <c r="B66" s="3" t="s">
        <v>76</v>
      </c>
      <c r="F66" s="23">
        <f>'2. Parameters'!F93</f>
        <v>90</v>
      </c>
    </row>
    <row r="67" spans="1:6">
      <c r="B67" s="3" t="s">
        <v>77</v>
      </c>
      <c r="F67" s="23">
        <f>'2. Parameters'!F94</f>
        <v>91</v>
      </c>
    </row>
    <row r="68" spans="1:6">
      <c r="B68" s="3" t="s">
        <v>78</v>
      </c>
      <c r="F68" s="23">
        <f>'2. Parameters'!F95</f>
        <v>92</v>
      </c>
    </row>
    <row r="69" spans="1:6">
      <c r="B69" s="3" t="s">
        <v>79</v>
      </c>
      <c r="F69" s="23">
        <f>'2. Parameters'!F96</f>
        <v>92</v>
      </c>
    </row>
    <row r="71" spans="1:6">
      <c r="B71" s="2" t="s">
        <v>85</v>
      </c>
    </row>
    <row r="72" spans="1:6">
      <c r="B72" s="3" t="s">
        <v>86</v>
      </c>
      <c r="F72" s="23">
        <f>'2. Parameters'!F99</f>
        <v>24</v>
      </c>
    </row>
    <row r="73" spans="1:6">
      <c r="B73" s="3" t="s">
        <v>87</v>
      </c>
      <c r="F73" s="23">
        <f>'2. Parameters'!F100</f>
        <v>365</v>
      </c>
    </row>
    <row r="74" spans="1:6">
      <c r="B74" s="3" t="s">
        <v>88</v>
      </c>
      <c r="F74" s="23">
        <f>'2. Parameters'!F101</f>
        <v>8760</v>
      </c>
    </row>
    <row r="75" spans="1:6">
      <c r="B75" s="2"/>
    </row>
    <row r="76" spans="1:6">
      <c r="B76" s="2" t="s">
        <v>66</v>
      </c>
    </row>
    <row r="77" spans="1:6">
      <c r="B77" s="3" t="s">
        <v>168</v>
      </c>
      <c r="D77" s="3" t="s">
        <v>63</v>
      </c>
      <c r="F77" s="23" t="str">
        <f>'1. Entry- en exittarieven'!J8</f>
        <v>Alle overige entry- en exitpunten</v>
      </c>
    </row>
    <row r="78" spans="1:6">
      <c r="B78" s="3" t="s">
        <v>169</v>
      </c>
      <c r="D78" s="3" t="s">
        <v>63</v>
      </c>
      <c r="F78" s="31">
        <f>_xlfn.XLOOKUP(F77,'2. Parameters'!B106:B120,'2. Parameters'!F106:F120)</f>
        <v>1E-4</v>
      </c>
    </row>
    <row r="79" spans="1:6">
      <c r="B79" s="3" t="s">
        <v>170</v>
      </c>
      <c r="D79" s="3" t="s">
        <v>63</v>
      </c>
      <c r="F79" s="31">
        <f>_xlfn.XLOOKUP(F77,'2. Parameters'!B123:B137,'2. Parameters'!F123:F137)</f>
        <v>1E-4</v>
      </c>
    </row>
    <row r="81" spans="2:33" s="5" customFormat="1">
      <c r="B81" s="5" t="s">
        <v>171</v>
      </c>
    </row>
    <row r="83" spans="2:33">
      <c r="B83" s="3" t="s">
        <v>157</v>
      </c>
      <c r="D83" s="3" t="s">
        <v>172</v>
      </c>
      <c r="F83" s="19">
        <f>'7. RPM'!K42</f>
        <v>-7.3784313327324939E-3</v>
      </c>
    </row>
    <row r="84" spans="2:33">
      <c r="B84" s="3" t="s">
        <v>158</v>
      </c>
      <c r="D84" s="3" t="s">
        <v>172</v>
      </c>
      <c r="F84" s="19">
        <f>'7. RPM'!K43</f>
        <v>-6.4509437274332723E-3</v>
      </c>
    </row>
    <row r="85" spans="2:33">
      <c r="B85" s="3" t="s">
        <v>159</v>
      </c>
      <c r="D85" s="3" t="s">
        <v>172</v>
      </c>
      <c r="F85" s="19">
        <f>'7. RPM'!K44</f>
        <v>-1.8446078331831235E-3</v>
      </c>
    </row>
    <row r="86" spans="2:33">
      <c r="B86" s="3" t="s">
        <v>160</v>
      </c>
      <c r="D86" s="3" t="s">
        <v>172</v>
      </c>
      <c r="F86" s="19">
        <f>'7. RPM'!K45</f>
        <v>-1.6127359318583181E-3</v>
      </c>
    </row>
    <row r="87" spans="2:33">
      <c r="B87" s="3" t="s">
        <v>161</v>
      </c>
      <c r="D87" s="3" t="s">
        <v>172</v>
      </c>
      <c r="F87" s="19">
        <f>'7. RPM'!K46</f>
        <v>-5.902745066185996E-3</v>
      </c>
    </row>
    <row r="89" spans="2:33" s="20" customFormat="1">
      <c r="B89" s="20" t="s">
        <v>8</v>
      </c>
      <c r="H89" s="20" t="s">
        <v>9</v>
      </c>
      <c r="N89" s="20" t="s">
        <v>10</v>
      </c>
      <c r="T89" s="20" t="s">
        <v>11</v>
      </c>
    </row>
    <row r="90" spans="2:33" s="22" customFormat="1">
      <c r="B90" s="22" t="s">
        <v>12</v>
      </c>
      <c r="H90" s="22" t="s">
        <v>13</v>
      </c>
      <c r="I90" s="22" t="s">
        <v>14</v>
      </c>
      <c r="J90" s="22" t="s">
        <v>15</v>
      </c>
      <c r="K90" s="22" t="s">
        <v>16</v>
      </c>
      <c r="L90" s="22" t="s">
        <v>17</v>
      </c>
      <c r="N90" s="22" t="s">
        <v>13</v>
      </c>
      <c r="O90" s="22" t="s">
        <v>14</v>
      </c>
      <c r="P90" s="22" t="s">
        <v>15</v>
      </c>
      <c r="Q90" s="22" t="s">
        <v>16</v>
      </c>
      <c r="R90" s="22" t="s">
        <v>17</v>
      </c>
      <c r="T90" s="22" t="s">
        <v>13</v>
      </c>
      <c r="U90" s="22" t="s">
        <v>14</v>
      </c>
      <c r="V90" s="22" t="s">
        <v>15</v>
      </c>
      <c r="W90" s="22" t="s">
        <v>16</v>
      </c>
      <c r="X90" s="22" t="s">
        <v>17</v>
      </c>
    </row>
    <row r="91" spans="2:33" s="21" customFormat="1">
      <c r="H91" s="21" t="s">
        <v>18</v>
      </c>
      <c r="I91" s="21" t="s">
        <v>19</v>
      </c>
      <c r="J91" s="21" t="s">
        <v>20</v>
      </c>
      <c r="K91" s="21" t="s">
        <v>21</v>
      </c>
      <c r="L91" s="21" t="s">
        <v>22</v>
      </c>
      <c r="N91" s="21" t="s">
        <v>18</v>
      </c>
      <c r="O91" s="21" t="s">
        <v>19</v>
      </c>
      <c r="P91" s="21" t="s">
        <v>20</v>
      </c>
      <c r="Q91" s="21" t="s">
        <v>21</v>
      </c>
      <c r="R91" s="21" t="s">
        <v>22</v>
      </c>
      <c r="T91" s="21" t="s">
        <v>18</v>
      </c>
      <c r="U91" s="21" t="s">
        <v>19</v>
      </c>
      <c r="V91" s="21" t="s">
        <v>20</v>
      </c>
      <c r="W91" s="21" t="s">
        <v>21</v>
      </c>
      <c r="X91" s="21" t="s">
        <v>22</v>
      </c>
    </row>
    <row r="93" spans="2:33" ht="12.75" customHeight="1">
      <c r="B93" s="3" t="s">
        <v>23</v>
      </c>
      <c r="H93" s="117">
        <f>ROUND(F83,8)</f>
        <v>-7.3784300000000001E-3</v>
      </c>
      <c r="I93" s="118">
        <f>ROUND($F$12*$F$18*$F$66/$F$73*$F$83,8)</f>
        <v>-3.3703299999999999E-3</v>
      </c>
      <c r="J93" s="37">
        <f t="shared" ref="J93:J104" si="0">ROUND($F$13*$F24*$F52/$F$73*$F$83,8)</f>
        <v>-1.6120900000000001E-3</v>
      </c>
      <c r="K93" s="37">
        <f t="shared" ref="K93:K104" si="1">ROUND($F$14*$F38/$F$73*$F$83,8)</f>
        <v>-6.2719999999999996E-5</v>
      </c>
      <c r="L93" s="66">
        <f t="shared" ref="L93:L104" si="2">ROUNDUP($F$15*$F38/$F$74*$F$83,8)</f>
        <v>-2.6199999999999999E-6</v>
      </c>
      <c r="M93" s="38"/>
      <c r="N93" s="117">
        <f>ROUND(F85,8)</f>
        <v>-1.84461E-3</v>
      </c>
      <c r="O93" s="118">
        <f>ROUND($F$12*$F$18*$F$66/$F$73*$F$85,8)</f>
        <v>-8.4258E-4</v>
      </c>
      <c r="P93" s="37">
        <f>ROUND($F$13*$F$24*$F$52/$F$73*$F$85,8)</f>
        <v>-4.0301999999999997E-4</v>
      </c>
      <c r="Q93" s="37">
        <f>ROUND($F$14*$F$38/$F$73*$F$85,8)</f>
        <v>-1.5679999999999999E-5</v>
      </c>
      <c r="R93" s="71">
        <f t="shared" ref="R93:R104" si="3">ROUNDUP($F$15*$F38/$F$74*$F$85,8)</f>
        <v>-6.6000000000000003E-7</v>
      </c>
      <c r="S93" s="89"/>
      <c r="T93" s="117">
        <f>ROUND(F87,8)</f>
        <v>-5.90275E-3</v>
      </c>
      <c r="U93" s="118">
        <f>ROUND($F$12*$F$18*$F$66/$F$73*$F$87,8)</f>
        <v>-2.6962599999999998E-3</v>
      </c>
      <c r="V93" s="90">
        <f t="shared" ref="V93:V104" si="4">ROUND($F$13*$F24*$F52/$F$73*$F$87,8)</f>
        <v>-1.2896699999999999E-3</v>
      </c>
      <c r="W93" s="90">
        <f t="shared" ref="W93:W104" si="5">ROUND($F$14*$F38/$F$73*$F$87,8)</f>
        <v>-5.0179999999999997E-5</v>
      </c>
      <c r="X93" s="71">
        <f t="shared" ref="X93:X104" si="6">ROUNDUP($F$15*$F38/$F$74*$F$87,8)</f>
        <v>-2.0999999999999998E-6</v>
      </c>
      <c r="Z93" s="119" t="s">
        <v>173</v>
      </c>
      <c r="AA93" s="119"/>
      <c r="AB93" s="119"/>
      <c r="AG93" s="64"/>
    </row>
    <row r="94" spans="2:33">
      <c r="B94" s="3" t="s">
        <v>24</v>
      </c>
      <c r="H94" s="117"/>
      <c r="I94" s="118"/>
      <c r="J94" s="37">
        <f t="shared" si="0"/>
        <v>-1.30156E-3</v>
      </c>
      <c r="K94" s="37">
        <f t="shared" si="1"/>
        <v>-5.6069999999999997E-5</v>
      </c>
      <c r="L94" s="66">
        <f t="shared" si="2"/>
        <v>-2.34E-6</v>
      </c>
      <c r="M94" s="38"/>
      <c r="N94" s="117"/>
      <c r="O94" s="118"/>
      <c r="P94" s="37">
        <f>ROUND($F$13*$F$25*$F$53/$F$73*$F$85,8)</f>
        <v>-3.2539E-4</v>
      </c>
      <c r="Q94" s="37">
        <f>ROUND($F$14*$F$39/$F$73*$F$85,8)</f>
        <v>-1.402E-5</v>
      </c>
      <c r="R94" s="71">
        <f t="shared" si="3"/>
        <v>-5.8999999999999996E-7</v>
      </c>
      <c r="S94" s="89"/>
      <c r="T94" s="117"/>
      <c r="U94" s="118"/>
      <c r="V94" s="90">
        <f t="shared" si="4"/>
        <v>-1.0412399999999999E-3</v>
      </c>
      <c r="W94" s="90">
        <f t="shared" si="5"/>
        <v>-4.4860000000000001E-5</v>
      </c>
      <c r="X94" s="71">
        <f t="shared" si="6"/>
        <v>-1.8699999999999999E-6</v>
      </c>
      <c r="Z94" s="119"/>
      <c r="AA94" s="119"/>
      <c r="AB94" s="119"/>
    </row>
    <row r="95" spans="2:33">
      <c r="B95" s="3" t="s">
        <v>25</v>
      </c>
      <c r="H95" s="117"/>
      <c r="I95" s="118"/>
      <c r="J95" s="37">
        <f t="shared" si="0"/>
        <v>-1.1270500000000001E-3</v>
      </c>
      <c r="K95" s="37">
        <f t="shared" si="1"/>
        <v>-4.3829999999999999E-5</v>
      </c>
      <c r="L95" s="66">
        <f t="shared" si="2"/>
        <v>-1.8299999999999998E-6</v>
      </c>
      <c r="M95" s="38"/>
      <c r="N95" s="117"/>
      <c r="O95" s="118"/>
      <c r="P95" s="37">
        <f>ROUND($F$13*$F$26*$F$54/$F$73*$F$85,8)</f>
        <v>-2.8175999999999999E-4</v>
      </c>
      <c r="Q95" s="37">
        <f>ROUND($F$14*$F$40/$F$73*$F$85,8)</f>
        <v>-1.096E-5</v>
      </c>
      <c r="R95" s="71">
        <f t="shared" si="3"/>
        <v>-4.5999999999999999E-7</v>
      </c>
      <c r="S95" s="89"/>
      <c r="T95" s="117"/>
      <c r="U95" s="118"/>
      <c r="V95" s="90">
        <f t="shared" si="4"/>
        <v>-9.0163999999999999E-4</v>
      </c>
      <c r="W95" s="90">
        <f t="shared" si="5"/>
        <v>-3.506E-5</v>
      </c>
      <c r="X95" s="71">
        <f t="shared" si="6"/>
        <v>-1.4699999999999999E-6</v>
      </c>
      <c r="Z95" s="119"/>
      <c r="AA95" s="119"/>
      <c r="AB95" s="119"/>
    </row>
    <row r="96" spans="2:33">
      <c r="B96" s="3" t="s">
        <v>26</v>
      </c>
      <c r="H96" s="117"/>
      <c r="I96" s="118">
        <f>ROUND($F$12*$F$19*$F$67/$F$73*$F$83,8)</f>
        <v>-1.80276E-3</v>
      </c>
      <c r="J96" s="37">
        <f t="shared" si="0"/>
        <v>-8.1324000000000001E-4</v>
      </c>
      <c r="K96" s="37">
        <f t="shared" si="1"/>
        <v>-3.269E-5</v>
      </c>
      <c r="L96" s="66">
        <f t="shared" si="2"/>
        <v>-1.3699999999999998E-6</v>
      </c>
      <c r="M96" s="38"/>
      <c r="N96" s="117"/>
      <c r="O96" s="118">
        <f>ROUND($F$12*$F$19*$F$67/$F$73*$F$85,8)</f>
        <v>-4.5069000000000001E-4</v>
      </c>
      <c r="P96" s="37">
        <f>ROUND($F$13*$F$27*$F$55/$F$73*$F$85,8)</f>
        <v>-2.0331E-4</v>
      </c>
      <c r="Q96" s="37">
        <f>ROUND($F$14*$F$41/$F$73*$F$85,8)</f>
        <v>-8.1699999999999997E-6</v>
      </c>
      <c r="R96" s="71">
        <f t="shared" si="3"/>
        <v>-3.4999999999999998E-7</v>
      </c>
      <c r="S96" s="89"/>
      <c r="T96" s="117"/>
      <c r="U96" s="118">
        <f>ROUND($F$12*$F$19*$F$67/$F$73*$F$87,8)</f>
        <v>-1.44221E-3</v>
      </c>
      <c r="V96" s="90">
        <f t="shared" si="4"/>
        <v>-6.5059999999999998E-4</v>
      </c>
      <c r="W96" s="90">
        <f t="shared" si="5"/>
        <v>-2.6149999999999999E-5</v>
      </c>
      <c r="X96" s="71">
        <f t="shared" si="6"/>
        <v>-1.0899999999999999E-6</v>
      </c>
      <c r="Z96" s="119"/>
      <c r="AA96" s="119"/>
      <c r="AB96" s="119"/>
    </row>
    <row r="97" spans="2:28">
      <c r="B97" s="3" t="s">
        <v>27</v>
      </c>
      <c r="H97" s="117"/>
      <c r="I97" s="118"/>
      <c r="J97" s="37">
        <f t="shared" si="0"/>
        <v>-7.4447000000000001E-4</v>
      </c>
      <c r="K97" s="37">
        <f t="shared" si="1"/>
        <v>-2.8969999999999999E-5</v>
      </c>
      <c r="L97" s="66">
        <f t="shared" si="2"/>
        <v>-1.2099999999999998E-6</v>
      </c>
      <c r="M97" s="38"/>
      <c r="N97" s="117"/>
      <c r="O97" s="118"/>
      <c r="P97" s="37">
        <f>ROUND($F$13*$F$28*$F$56/$F$73*$F$85,8)</f>
        <v>-1.8611999999999999E-4</v>
      </c>
      <c r="Q97" s="37">
        <f>ROUND($F$14*$F$42/$F$73*$F$85,8)</f>
        <v>-7.2400000000000001E-6</v>
      </c>
      <c r="R97" s="71">
        <f t="shared" si="3"/>
        <v>-3.1E-7</v>
      </c>
      <c r="S97" s="89"/>
      <c r="T97" s="117"/>
      <c r="U97" s="118"/>
      <c r="V97" s="90">
        <f t="shared" si="4"/>
        <v>-5.9557999999999996E-4</v>
      </c>
      <c r="W97" s="90">
        <f t="shared" si="5"/>
        <v>-2.3180000000000002E-5</v>
      </c>
      <c r="X97" s="71">
        <f t="shared" si="6"/>
        <v>-9.6999999999999982E-7</v>
      </c>
      <c r="Z97" s="119"/>
      <c r="AA97" s="119"/>
      <c r="AB97" s="119"/>
    </row>
    <row r="98" spans="2:28">
      <c r="B98" s="3" t="s">
        <v>28</v>
      </c>
      <c r="H98" s="117"/>
      <c r="I98" s="118"/>
      <c r="J98" s="37">
        <f t="shared" si="0"/>
        <v>-6.0493000000000005E-4</v>
      </c>
      <c r="K98" s="37">
        <f t="shared" si="1"/>
        <v>-2.4340000000000001E-5</v>
      </c>
      <c r="L98" s="66">
        <f t="shared" si="2"/>
        <v>-1.02E-6</v>
      </c>
      <c r="M98" s="38"/>
      <c r="N98" s="117"/>
      <c r="O98" s="118"/>
      <c r="P98" s="37">
        <f>ROUND($F$13*$F$29*$F$57/$F$73*$F$85,8)</f>
        <v>-1.5123E-4</v>
      </c>
      <c r="Q98" s="37">
        <f>ROUND($F$14*$F$43/$F$73*$F$85,8)</f>
        <v>-6.0800000000000002E-6</v>
      </c>
      <c r="R98" s="71">
        <f t="shared" si="3"/>
        <v>-2.6E-7</v>
      </c>
      <c r="S98" s="89"/>
      <c r="T98" s="117"/>
      <c r="U98" s="118"/>
      <c r="V98" s="90">
        <f t="shared" si="4"/>
        <v>-4.8393999999999998E-4</v>
      </c>
      <c r="W98" s="90">
        <f t="shared" si="5"/>
        <v>-1.9470000000000002E-5</v>
      </c>
      <c r="X98" s="71">
        <f t="shared" si="6"/>
        <v>-8.1999999999999998E-7</v>
      </c>
      <c r="Z98" s="119"/>
      <c r="AA98" s="119"/>
      <c r="AB98" s="119"/>
    </row>
    <row r="99" spans="2:28">
      <c r="B99" s="3" t="s">
        <v>29</v>
      </c>
      <c r="H99" s="117"/>
      <c r="I99" s="118">
        <f>ROUND($F$12*$F$20*$F$68/$F$73*$F$83,8)</f>
        <v>-1.4622400000000001E-3</v>
      </c>
      <c r="J99" s="37">
        <f t="shared" si="0"/>
        <v>-5.9031000000000003E-4</v>
      </c>
      <c r="K99" s="37">
        <f t="shared" si="1"/>
        <v>-2.296E-5</v>
      </c>
      <c r="L99" s="66">
        <f t="shared" si="2"/>
        <v>-9.5999999999999991E-7</v>
      </c>
      <c r="M99" s="38"/>
      <c r="N99" s="117"/>
      <c r="O99" s="118">
        <f>ROUND($F$12*$F$20*$F$68/$F$73*$F$85,8)</f>
        <v>-3.6556000000000002E-4</v>
      </c>
      <c r="P99" s="37">
        <f>ROUND($F$13*$F$30*$F$58/$F$73*$F$85,8)</f>
        <v>-1.4757999999999999E-4</v>
      </c>
      <c r="Q99" s="37">
        <f>ROUND($F$14*$F$44/$F$73*$F$85,8)</f>
        <v>-5.7400000000000001E-6</v>
      </c>
      <c r="R99" s="71">
        <f t="shared" si="3"/>
        <v>-2.3999999999999998E-7</v>
      </c>
      <c r="S99" s="89"/>
      <c r="T99" s="117"/>
      <c r="U99" s="118">
        <f>ROUND($F$12*$F$20*$F$68/$F$73*$F$87,8)</f>
        <v>-1.16979E-3</v>
      </c>
      <c r="V99" s="90">
        <f t="shared" si="4"/>
        <v>-4.7225000000000001E-4</v>
      </c>
      <c r="W99" s="90">
        <f t="shared" si="5"/>
        <v>-1.8369999999999999E-5</v>
      </c>
      <c r="X99" s="71">
        <f t="shared" si="6"/>
        <v>-7.7000000000000004E-7</v>
      </c>
      <c r="Z99" s="119"/>
      <c r="AA99" s="119"/>
      <c r="AB99" s="119"/>
    </row>
    <row r="100" spans="2:28">
      <c r="B100" s="3" t="s">
        <v>30</v>
      </c>
      <c r="H100" s="117"/>
      <c r="I100" s="118"/>
      <c r="J100" s="37">
        <f t="shared" si="0"/>
        <v>-5.6117999999999999E-4</v>
      </c>
      <c r="K100" s="37">
        <f t="shared" si="1"/>
        <v>-2.1860000000000001E-5</v>
      </c>
      <c r="L100" s="66">
        <f t="shared" si="2"/>
        <v>-9.1999999999999998E-7</v>
      </c>
      <c r="M100" s="38"/>
      <c r="N100" s="117"/>
      <c r="O100" s="118"/>
      <c r="P100" s="37">
        <f>ROUND($F$13*$F$31*$F$59/$F$73*$F$85,8)</f>
        <v>-1.4029E-4</v>
      </c>
      <c r="Q100" s="37">
        <f>ROUND($F$14*$F$45/$F$73*$F$85,8)</f>
        <v>-5.4700000000000001E-6</v>
      </c>
      <c r="R100" s="71">
        <f t="shared" si="3"/>
        <v>-2.3000000000000002E-7</v>
      </c>
      <c r="S100" s="89"/>
      <c r="T100" s="117"/>
      <c r="U100" s="118"/>
      <c r="V100" s="90">
        <f t="shared" si="4"/>
        <v>-4.4893999999999999E-4</v>
      </c>
      <c r="W100" s="90">
        <f t="shared" si="5"/>
        <v>-1.749E-5</v>
      </c>
      <c r="X100" s="71">
        <f t="shared" si="6"/>
        <v>-7.3E-7</v>
      </c>
      <c r="Z100" s="119"/>
      <c r="AA100" s="119"/>
      <c r="AB100" s="119"/>
    </row>
    <row r="101" spans="2:28">
      <c r="B101" s="3" t="s">
        <v>31</v>
      </c>
      <c r="H101" s="117"/>
      <c r="I101" s="118"/>
      <c r="J101" s="37">
        <f t="shared" si="0"/>
        <v>-6.0311000000000002E-4</v>
      </c>
      <c r="K101" s="37">
        <f t="shared" si="1"/>
        <v>-2.427E-5</v>
      </c>
      <c r="L101" s="66">
        <f t="shared" si="2"/>
        <v>-1.02E-6</v>
      </c>
      <c r="M101" s="38"/>
      <c r="N101" s="117"/>
      <c r="O101" s="118"/>
      <c r="P101" s="37">
        <f>ROUND($F$13*$F$32*$F$60/$F$73*$F$85,8)</f>
        <v>-1.5077999999999999E-4</v>
      </c>
      <c r="Q101" s="37">
        <f>ROUND($F$14*$F$46/$F$73*$F$85,8)</f>
        <v>-6.0700000000000003E-6</v>
      </c>
      <c r="R101" s="71">
        <f t="shared" si="3"/>
        <v>-2.6E-7</v>
      </c>
      <c r="S101" s="89"/>
      <c r="T101" s="117"/>
      <c r="U101" s="118"/>
      <c r="V101" s="90">
        <f t="shared" si="4"/>
        <v>-4.8249000000000002E-4</v>
      </c>
      <c r="W101" s="90">
        <f t="shared" si="5"/>
        <v>-1.9409999999999999E-5</v>
      </c>
      <c r="X101" s="71">
        <f t="shared" si="6"/>
        <v>-8.0999999999999997E-7</v>
      </c>
      <c r="Z101" s="119"/>
      <c r="AA101" s="119"/>
      <c r="AB101" s="119"/>
    </row>
    <row r="102" spans="2:28">
      <c r="B102" s="3" t="s">
        <v>32</v>
      </c>
      <c r="H102" s="117"/>
      <c r="I102" s="118">
        <f>ROUND($F$12*$F$21*$F$69/$F$73*$F$83,8)</f>
        <v>-2.5688099999999999E-3</v>
      </c>
      <c r="J102" s="37">
        <f t="shared" si="0"/>
        <v>-7.1533000000000002E-4</v>
      </c>
      <c r="K102" s="37">
        <f t="shared" si="1"/>
        <v>-2.7840000000000001E-5</v>
      </c>
      <c r="L102" s="66">
        <f t="shared" si="2"/>
        <v>-1.1699999999999998E-6</v>
      </c>
      <c r="M102" s="38"/>
      <c r="N102" s="117"/>
      <c r="O102" s="118">
        <f>ROUND($F$12*$F$21*$F$69/$F$73*$F$85,8)</f>
        <v>-6.422E-4</v>
      </c>
      <c r="P102" s="37">
        <f>ROUND($F$13*$F$33*$F$61/$F$73*$F$85,8)</f>
        <v>-1.7882999999999999E-4</v>
      </c>
      <c r="Q102" s="37">
        <f>ROUND($F$14*$F$47/$F$73*$F$85,8)</f>
        <v>-6.9600000000000003E-6</v>
      </c>
      <c r="R102" s="71">
        <f t="shared" si="3"/>
        <v>-2.9999999999999999E-7</v>
      </c>
      <c r="S102" s="89"/>
      <c r="T102" s="117"/>
      <c r="U102" s="118">
        <f>ROUND($F$12*$F$21*$F$69/$F$73*$F$87,8)</f>
        <v>-2.0550400000000002E-3</v>
      </c>
      <c r="V102" s="90">
        <f t="shared" si="4"/>
        <v>-5.7227000000000005E-4</v>
      </c>
      <c r="W102" s="90">
        <f t="shared" si="5"/>
        <v>-2.2269999999999999E-5</v>
      </c>
      <c r="X102" s="71">
        <f t="shared" si="6"/>
        <v>-9.2999999999999999E-7</v>
      </c>
      <c r="Z102" s="119"/>
      <c r="AA102" s="119"/>
      <c r="AB102" s="119"/>
    </row>
    <row r="103" spans="2:28">
      <c r="B103" s="3" t="s">
        <v>33</v>
      </c>
      <c r="H103" s="117"/>
      <c r="I103" s="118"/>
      <c r="J103" s="37">
        <f t="shared" si="0"/>
        <v>-1.02793E-3</v>
      </c>
      <c r="K103" s="37">
        <f t="shared" si="1"/>
        <v>-4.1319999999999997E-5</v>
      </c>
      <c r="L103" s="66">
        <f t="shared" si="2"/>
        <v>-1.73E-6</v>
      </c>
      <c r="M103" s="38"/>
      <c r="N103" s="117"/>
      <c r="O103" s="118"/>
      <c r="P103" s="37">
        <f>ROUND($F$13*$F$34*$F$62/$F$73*$F$85,8)</f>
        <v>-2.5698000000000002E-4</v>
      </c>
      <c r="Q103" s="37">
        <f>ROUND($F$14*$F$48/$F$73*$F$85,8)</f>
        <v>-1.0329999999999999E-5</v>
      </c>
      <c r="R103" s="71">
        <f t="shared" si="3"/>
        <v>-4.4000000000000002E-7</v>
      </c>
      <c r="S103" s="89"/>
      <c r="T103" s="117"/>
      <c r="U103" s="118"/>
      <c r="V103" s="90">
        <f t="shared" si="4"/>
        <v>-8.2233999999999996E-4</v>
      </c>
      <c r="W103" s="90">
        <f t="shared" si="5"/>
        <v>-3.3059999999999999E-5</v>
      </c>
      <c r="X103" s="71">
        <f t="shared" si="6"/>
        <v>-1.3799999999999999E-6</v>
      </c>
      <c r="Z103" s="119"/>
      <c r="AA103" s="119"/>
      <c r="AB103" s="119"/>
    </row>
    <row r="104" spans="2:28">
      <c r="B104" s="3" t="s">
        <v>34</v>
      </c>
      <c r="H104" s="117"/>
      <c r="I104" s="118"/>
      <c r="J104" s="37">
        <f t="shared" si="0"/>
        <v>-1.33855E-3</v>
      </c>
      <c r="K104" s="37">
        <f t="shared" si="1"/>
        <v>-5.2070000000000001E-5</v>
      </c>
      <c r="L104" s="66">
        <f t="shared" si="2"/>
        <v>-2.17E-6</v>
      </c>
      <c r="M104" s="38"/>
      <c r="N104" s="117"/>
      <c r="O104" s="118"/>
      <c r="P104" s="37">
        <f>ROUND($F$13*$F$35*$F$63/$F$73*$F$85,8)</f>
        <v>-3.3463999999999998E-4</v>
      </c>
      <c r="Q104" s="37">
        <f>ROUND($F$14*$F$49/$F$73*$F$85,8)</f>
        <v>-1.3020000000000001E-5</v>
      </c>
      <c r="R104" s="71">
        <f t="shared" si="3"/>
        <v>-5.5000000000000003E-7</v>
      </c>
      <c r="S104" s="89"/>
      <c r="T104" s="117"/>
      <c r="U104" s="118"/>
      <c r="V104" s="90">
        <f t="shared" si="4"/>
        <v>-1.07084E-3</v>
      </c>
      <c r="W104" s="90">
        <f t="shared" si="5"/>
        <v>-4.1659999999999998E-5</v>
      </c>
      <c r="X104" s="71">
        <f t="shared" si="6"/>
        <v>-1.7399999999999999E-6</v>
      </c>
      <c r="Z104" s="119"/>
      <c r="AA104" s="119"/>
      <c r="AB104" s="119"/>
    </row>
    <row r="105" spans="2:28">
      <c r="L105" s="67"/>
      <c r="R105" s="63"/>
      <c r="S105" s="63"/>
      <c r="T105" s="63"/>
      <c r="U105" s="63"/>
      <c r="V105" s="63"/>
      <c r="W105" s="63"/>
      <c r="X105" s="63"/>
    </row>
    <row r="106" spans="2:28">
      <c r="L106" s="67"/>
      <c r="R106" s="63"/>
      <c r="S106" s="63"/>
      <c r="T106" s="63"/>
      <c r="U106" s="63"/>
      <c r="V106" s="63"/>
      <c r="W106" s="63"/>
      <c r="X106" s="63"/>
    </row>
    <row r="107" spans="2:28" s="20" customFormat="1">
      <c r="B107" s="20" t="s">
        <v>35</v>
      </c>
      <c r="H107" s="20" t="s">
        <v>9</v>
      </c>
      <c r="L107" s="68"/>
      <c r="N107" s="20" t="s">
        <v>10</v>
      </c>
      <c r="R107" s="72"/>
      <c r="S107" s="72"/>
      <c r="T107" s="72"/>
      <c r="U107" s="72"/>
      <c r="V107" s="72"/>
      <c r="W107" s="72"/>
      <c r="X107" s="72"/>
    </row>
    <row r="108" spans="2:28" s="22" customFormat="1">
      <c r="B108" s="22" t="s">
        <v>174</v>
      </c>
      <c r="H108" s="22" t="s">
        <v>13</v>
      </c>
      <c r="I108" s="22" t="s">
        <v>14</v>
      </c>
      <c r="J108" s="22" t="s">
        <v>15</v>
      </c>
      <c r="K108" s="22" t="s">
        <v>16</v>
      </c>
      <c r="L108" s="69" t="s">
        <v>17</v>
      </c>
      <c r="N108" s="22" t="s">
        <v>13</v>
      </c>
      <c r="O108" s="22" t="s">
        <v>14</v>
      </c>
      <c r="P108" s="22" t="s">
        <v>15</v>
      </c>
      <c r="Q108" s="22" t="s">
        <v>16</v>
      </c>
      <c r="R108" s="73" t="s">
        <v>17</v>
      </c>
      <c r="S108" s="73"/>
      <c r="T108" s="73"/>
      <c r="U108" s="73"/>
      <c r="V108" s="73"/>
      <c r="W108" s="73"/>
      <c r="X108" s="73"/>
    </row>
    <row r="109" spans="2:28" s="21" customFormat="1">
      <c r="H109" s="21" t="s">
        <v>18</v>
      </c>
      <c r="I109" s="21" t="s">
        <v>19</v>
      </c>
      <c r="J109" s="21" t="s">
        <v>20</v>
      </c>
      <c r="K109" s="21" t="s">
        <v>21</v>
      </c>
      <c r="L109" s="70" t="s">
        <v>22</v>
      </c>
      <c r="N109" s="21" t="s">
        <v>18</v>
      </c>
      <c r="O109" s="21" t="s">
        <v>19</v>
      </c>
      <c r="P109" s="21" t="s">
        <v>20</v>
      </c>
      <c r="Q109" s="21" t="s">
        <v>21</v>
      </c>
      <c r="R109" s="74" t="s">
        <v>22</v>
      </c>
      <c r="S109" s="74"/>
      <c r="T109" s="74"/>
      <c r="U109" s="74"/>
      <c r="V109" s="74"/>
      <c r="W109" s="74"/>
      <c r="X109" s="74"/>
    </row>
    <row r="110" spans="2:28">
      <c r="L110" s="67"/>
      <c r="R110" s="63"/>
      <c r="S110" s="63"/>
      <c r="T110" s="63"/>
      <c r="U110" s="63"/>
      <c r="V110" s="63"/>
      <c r="W110" s="63"/>
      <c r="X110" s="63"/>
    </row>
    <row r="111" spans="2:28" ht="12.75" customHeight="1">
      <c r="B111" s="3" t="s">
        <v>23</v>
      </c>
      <c r="H111" s="117">
        <f>ROUND(F84,8)</f>
        <v>-6.4509399999999996E-3</v>
      </c>
      <c r="I111" s="118">
        <f>ROUND($F$12*$F$18*$F$66/$F$73*$F$84,8)</f>
        <v>-2.9466700000000002E-3</v>
      </c>
      <c r="J111" s="37">
        <f t="shared" ref="J111:J122" si="7">ROUND($F$13*$F24*$F52/$F$73*$F$84,8)</f>
        <v>-1.4094400000000001E-3</v>
      </c>
      <c r="K111" s="37">
        <f t="shared" ref="K111:K122" si="8">ROUND($F$14*$F38/$F$73*$F$84,8)</f>
        <v>-5.4839999999999997E-5</v>
      </c>
      <c r="L111" s="66">
        <f t="shared" ref="L111:L122" si="9">ROUNDUP($F$15*$F38/$F$74*$F$84,8)</f>
        <v>-2.2900000000000001E-6</v>
      </c>
      <c r="N111" s="117">
        <f>ROUND(F86,8)</f>
        <v>-1.6127400000000001E-3</v>
      </c>
      <c r="O111" s="118">
        <f>ROUND($F$12*$F$18*$F$66/$F$73*$F$86,8)</f>
        <v>-7.3667000000000003E-4</v>
      </c>
      <c r="P111" s="37">
        <f t="shared" ref="P111:P122" si="10">ROUND($F$13*$F24*$F52/$F$73*$F$86,8)</f>
        <v>-3.5236000000000002E-4</v>
      </c>
      <c r="Q111" s="37">
        <f t="shared" ref="Q111:Q122" si="11">ROUND($F$14*$F38/$F$73*$F$86,8)</f>
        <v>-1.3709999999999999E-5</v>
      </c>
      <c r="R111" s="71">
        <f t="shared" ref="R111:R122" si="12">ROUNDUP($F$15*$F38/$F$74*$F$86,8)</f>
        <v>-5.8000000000000006E-7</v>
      </c>
      <c r="S111" s="89"/>
      <c r="T111" s="119" t="s">
        <v>173</v>
      </c>
      <c r="U111" s="119"/>
      <c r="V111" s="119"/>
      <c r="W111" s="89"/>
      <c r="X111" s="89"/>
    </row>
    <row r="112" spans="2:28">
      <c r="B112" s="3" t="s">
        <v>24</v>
      </c>
      <c r="H112" s="117"/>
      <c r="I112" s="118"/>
      <c r="J112" s="37">
        <f t="shared" si="7"/>
        <v>-1.13795E-3</v>
      </c>
      <c r="K112" s="37">
        <f t="shared" si="8"/>
        <v>-4.9020000000000002E-5</v>
      </c>
      <c r="L112" s="66">
        <f t="shared" si="9"/>
        <v>-2.0499999999999999E-6</v>
      </c>
      <c r="N112" s="117"/>
      <c r="O112" s="118"/>
      <c r="P112" s="37">
        <f t="shared" si="10"/>
        <v>-2.8448999999999998E-4</v>
      </c>
      <c r="Q112" s="37">
        <f t="shared" si="11"/>
        <v>-1.226E-5</v>
      </c>
      <c r="R112" s="71">
        <f t="shared" si="12"/>
        <v>-5.2E-7</v>
      </c>
      <c r="S112" s="89"/>
      <c r="T112" s="119"/>
      <c r="U112" s="119"/>
      <c r="V112" s="119"/>
      <c r="W112" s="89"/>
      <c r="X112" s="89"/>
    </row>
    <row r="113" spans="2:24">
      <c r="B113" s="3" t="s">
        <v>25</v>
      </c>
      <c r="H113" s="117"/>
      <c r="I113" s="118"/>
      <c r="J113" s="37">
        <f t="shared" si="7"/>
        <v>-9.8537999999999989E-4</v>
      </c>
      <c r="K113" s="37">
        <f t="shared" si="8"/>
        <v>-3.8319999999999999E-5</v>
      </c>
      <c r="L113" s="66">
        <f t="shared" si="9"/>
        <v>-1.5999999999999999E-6</v>
      </c>
      <c r="N113" s="117"/>
      <c r="O113" s="118"/>
      <c r="P113" s="37">
        <f t="shared" si="10"/>
        <v>-2.4634E-4</v>
      </c>
      <c r="Q113" s="37">
        <f t="shared" si="11"/>
        <v>-9.5799999999999998E-6</v>
      </c>
      <c r="R113" s="71">
        <f t="shared" si="12"/>
        <v>-4.0000000000000003E-7</v>
      </c>
      <c r="S113" s="89"/>
      <c r="T113" s="119"/>
      <c r="U113" s="119"/>
      <c r="V113" s="119"/>
      <c r="W113" s="89"/>
      <c r="X113" s="89"/>
    </row>
    <row r="114" spans="2:24">
      <c r="B114" s="3" t="s">
        <v>26</v>
      </c>
      <c r="H114" s="117"/>
      <c r="I114" s="118">
        <f>ROUND($F$12*$F$19*$F$67/$F$73*$F$84,8)</f>
        <v>-1.5761499999999999E-3</v>
      </c>
      <c r="J114" s="37">
        <f t="shared" si="7"/>
        <v>-7.1102000000000003E-4</v>
      </c>
      <c r="K114" s="37">
        <f t="shared" si="8"/>
        <v>-2.8580000000000001E-5</v>
      </c>
      <c r="L114" s="66">
        <f t="shared" si="9"/>
        <v>-1.1999999999999999E-6</v>
      </c>
      <c r="N114" s="117"/>
      <c r="O114" s="118">
        <f>ROUND($F$12*$F$19*$F$67/$F$73*$F$86,8)</f>
        <v>-3.9404000000000002E-4</v>
      </c>
      <c r="P114" s="37">
        <f t="shared" si="10"/>
        <v>-1.7775000000000001E-4</v>
      </c>
      <c r="Q114" s="37">
        <f t="shared" si="11"/>
        <v>-7.1400000000000002E-6</v>
      </c>
      <c r="R114" s="71">
        <f t="shared" si="12"/>
        <v>-2.9999999999999999E-7</v>
      </c>
      <c r="S114" s="89"/>
      <c r="T114" s="119"/>
      <c r="U114" s="119"/>
      <c r="V114" s="119"/>
      <c r="W114" s="89"/>
      <c r="X114" s="89"/>
    </row>
    <row r="115" spans="2:24">
      <c r="B115" s="3" t="s">
        <v>27</v>
      </c>
      <c r="H115" s="117"/>
      <c r="I115" s="118"/>
      <c r="J115" s="37">
        <f t="shared" si="7"/>
        <v>-6.5089E-4</v>
      </c>
      <c r="K115" s="37">
        <f t="shared" si="8"/>
        <v>-2.533E-5</v>
      </c>
      <c r="L115" s="66">
        <f t="shared" si="9"/>
        <v>-1.0599999999999998E-6</v>
      </c>
      <c r="N115" s="117"/>
      <c r="O115" s="118"/>
      <c r="P115" s="37">
        <f t="shared" si="10"/>
        <v>-1.6271999999999999E-4</v>
      </c>
      <c r="Q115" s="37">
        <f t="shared" si="11"/>
        <v>-6.3300000000000004E-6</v>
      </c>
      <c r="R115" s="71">
        <f t="shared" si="12"/>
        <v>-2.7000000000000001E-7</v>
      </c>
      <c r="S115" s="89"/>
      <c r="T115" s="119"/>
      <c r="U115" s="119"/>
      <c r="V115" s="119"/>
      <c r="W115" s="89"/>
      <c r="X115" s="89"/>
    </row>
    <row r="116" spans="2:24">
      <c r="B116" s="3" t="s">
        <v>28</v>
      </c>
      <c r="H116" s="117"/>
      <c r="I116" s="118"/>
      <c r="J116" s="37">
        <f t="shared" si="7"/>
        <v>-5.2888999999999996E-4</v>
      </c>
      <c r="K116" s="37">
        <f t="shared" si="8"/>
        <v>-2.128E-5</v>
      </c>
      <c r="L116" s="66">
        <f t="shared" si="9"/>
        <v>-8.9000000000000006E-7</v>
      </c>
      <c r="N116" s="117"/>
      <c r="O116" s="118"/>
      <c r="P116" s="37">
        <f t="shared" si="10"/>
        <v>-1.3222E-4</v>
      </c>
      <c r="Q116" s="37">
        <f t="shared" si="11"/>
        <v>-5.3199999999999999E-6</v>
      </c>
      <c r="R116" s="71">
        <f t="shared" si="12"/>
        <v>-2.3000000000000002E-7</v>
      </c>
      <c r="S116" s="89"/>
      <c r="T116" s="119"/>
      <c r="U116" s="119"/>
      <c r="V116" s="119"/>
      <c r="W116" s="89"/>
      <c r="X116" s="89"/>
    </row>
    <row r="117" spans="2:24">
      <c r="B117" s="3" t="s">
        <v>29</v>
      </c>
      <c r="H117" s="117"/>
      <c r="I117" s="118">
        <f>ROUND($F$12*$F$20*$F$68/$F$73*$F$84,8)</f>
        <v>-1.27844E-3</v>
      </c>
      <c r="J117" s="37">
        <f t="shared" si="7"/>
        <v>-5.1610999999999996E-4</v>
      </c>
      <c r="K117" s="37">
        <f t="shared" si="8"/>
        <v>-2.0069999999999999E-5</v>
      </c>
      <c r="L117" s="66">
        <f t="shared" si="9"/>
        <v>-8.4E-7</v>
      </c>
      <c r="N117" s="117"/>
      <c r="O117" s="118">
        <f>ROUND($F$12*$F$20*$F$68/$F$73*$F$86,8)</f>
        <v>-3.1961000000000001E-4</v>
      </c>
      <c r="P117" s="37">
        <f t="shared" si="10"/>
        <v>-1.2903E-4</v>
      </c>
      <c r="Q117" s="37">
        <f t="shared" si="11"/>
        <v>-5.0200000000000002E-6</v>
      </c>
      <c r="R117" s="71">
        <f t="shared" si="12"/>
        <v>-2.1E-7</v>
      </c>
      <c r="S117" s="89"/>
      <c r="T117" s="119"/>
      <c r="U117" s="119"/>
      <c r="V117" s="119"/>
      <c r="W117" s="89"/>
      <c r="X117" s="89"/>
    </row>
    <row r="118" spans="2:24">
      <c r="B118" s="3" t="s">
        <v>30</v>
      </c>
      <c r="H118" s="117"/>
      <c r="I118" s="118"/>
      <c r="J118" s="37">
        <f t="shared" si="7"/>
        <v>-4.9063000000000004E-4</v>
      </c>
      <c r="K118" s="37">
        <f t="shared" si="8"/>
        <v>-1.9110000000000002E-5</v>
      </c>
      <c r="L118" s="66">
        <f t="shared" si="9"/>
        <v>-7.9999999999999996E-7</v>
      </c>
      <c r="N118" s="117"/>
      <c r="O118" s="118"/>
      <c r="P118" s="37">
        <f t="shared" si="10"/>
        <v>-1.2265999999999999E-4</v>
      </c>
      <c r="Q118" s="37">
        <f t="shared" si="11"/>
        <v>-4.78E-6</v>
      </c>
      <c r="R118" s="71">
        <f t="shared" si="12"/>
        <v>-2.0000000000000002E-7</v>
      </c>
      <c r="S118" s="89"/>
      <c r="T118" s="119"/>
      <c r="U118" s="119"/>
      <c r="V118" s="119"/>
      <c r="W118" s="89"/>
      <c r="X118" s="89"/>
    </row>
    <row r="119" spans="2:24">
      <c r="B119" s="3" t="s">
        <v>31</v>
      </c>
      <c r="H119" s="117"/>
      <c r="I119" s="118"/>
      <c r="J119" s="37">
        <f t="shared" si="7"/>
        <v>-5.2729999999999997E-4</v>
      </c>
      <c r="K119" s="37">
        <f t="shared" si="8"/>
        <v>-2.122E-5</v>
      </c>
      <c r="L119" s="66">
        <f t="shared" si="9"/>
        <v>-8.9000000000000006E-7</v>
      </c>
      <c r="N119" s="117"/>
      <c r="O119" s="118"/>
      <c r="P119" s="37">
        <f t="shared" si="10"/>
        <v>-1.3181999999999999E-4</v>
      </c>
      <c r="Q119" s="37">
        <f t="shared" si="11"/>
        <v>-5.3000000000000001E-6</v>
      </c>
      <c r="R119" s="71">
        <f t="shared" si="12"/>
        <v>-2.3000000000000002E-7</v>
      </c>
      <c r="S119" s="89"/>
      <c r="T119" s="119"/>
      <c r="U119" s="119"/>
      <c r="V119" s="119"/>
      <c r="W119" s="89"/>
      <c r="X119" s="89"/>
    </row>
    <row r="120" spans="2:24">
      <c r="B120" s="3" t="s">
        <v>32</v>
      </c>
      <c r="H120" s="117"/>
      <c r="I120" s="118">
        <f>ROUND($F$12*$F$21*$F$69/$F$73*$F$84,8)</f>
        <v>-2.2458999999999999E-3</v>
      </c>
      <c r="J120" s="37">
        <f t="shared" si="7"/>
        <v>-6.2540999999999996E-4</v>
      </c>
      <c r="K120" s="37">
        <f t="shared" si="8"/>
        <v>-2.4340000000000001E-5</v>
      </c>
      <c r="L120" s="66">
        <f t="shared" si="9"/>
        <v>-1.02E-6</v>
      </c>
      <c r="N120" s="117"/>
      <c r="O120" s="118">
        <f>ROUND($F$12*$F$21*$F$69/$F$73*$F$86,8)</f>
        <v>-5.6148000000000005E-4</v>
      </c>
      <c r="P120" s="37">
        <f t="shared" si="10"/>
        <v>-1.5635000000000001E-4</v>
      </c>
      <c r="Q120" s="37">
        <f t="shared" si="11"/>
        <v>-6.0900000000000001E-6</v>
      </c>
      <c r="R120" s="71">
        <f t="shared" si="12"/>
        <v>-2.6E-7</v>
      </c>
      <c r="S120" s="89"/>
      <c r="T120" s="119"/>
      <c r="U120" s="119"/>
      <c r="V120" s="119"/>
      <c r="W120" s="89"/>
      <c r="X120" s="89"/>
    </row>
    <row r="121" spans="2:24">
      <c r="B121" s="3" t="s">
        <v>33</v>
      </c>
      <c r="H121" s="117"/>
      <c r="I121" s="118"/>
      <c r="J121" s="37">
        <f t="shared" si="7"/>
        <v>-8.9871000000000005E-4</v>
      </c>
      <c r="K121" s="37">
        <f t="shared" si="8"/>
        <v>-3.6130000000000001E-5</v>
      </c>
      <c r="L121" s="66">
        <f t="shared" si="9"/>
        <v>-1.5099999999999999E-6</v>
      </c>
      <c r="N121" s="117"/>
      <c r="O121" s="118"/>
      <c r="P121" s="37">
        <f t="shared" si="10"/>
        <v>-2.2468E-4</v>
      </c>
      <c r="Q121" s="37">
        <f t="shared" si="11"/>
        <v>-9.0299999999999999E-6</v>
      </c>
      <c r="R121" s="71">
        <f t="shared" si="12"/>
        <v>-3.8000000000000001E-7</v>
      </c>
      <c r="S121" s="89"/>
      <c r="T121" s="119"/>
      <c r="U121" s="119"/>
      <c r="V121" s="119"/>
      <c r="W121" s="89"/>
      <c r="X121" s="89"/>
    </row>
    <row r="122" spans="2:24">
      <c r="B122" s="3" t="s">
        <v>34</v>
      </c>
      <c r="H122" s="117"/>
      <c r="I122" s="118"/>
      <c r="J122" s="37">
        <f t="shared" si="7"/>
        <v>-1.17029E-3</v>
      </c>
      <c r="K122" s="37">
        <f t="shared" si="8"/>
        <v>-4.5529999999999999E-5</v>
      </c>
      <c r="L122" s="66">
        <f t="shared" si="9"/>
        <v>-1.8999999999999998E-6</v>
      </c>
      <c r="N122" s="117"/>
      <c r="O122" s="118"/>
      <c r="P122" s="37">
        <f t="shared" si="10"/>
        <v>-2.9257000000000003E-4</v>
      </c>
      <c r="Q122" s="37">
        <f t="shared" si="11"/>
        <v>-1.1379999999999999E-5</v>
      </c>
      <c r="R122" s="71">
        <f t="shared" si="12"/>
        <v>-4.7999999999999996E-7</v>
      </c>
      <c r="S122" s="89"/>
      <c r="T122" s="119"/>
      <c r="U122" s="119"/>
      <c r="V122" s="119"/>
      <c r="W122" s="89"/>
      <c r="X122" s="89"/>
    </row>
    <row r="123" spans="2:24">
      <c r="L123" s="67"/>
      <c r="R123" s="63"/>
      <c r="S123" s="63"/>
      <c r="T123" s="63"/>
      <c r="U123" s="63"/>
      <c r="V123" s="63"/>
      <c r="W123" s="63"/>
      <c r="X123" s="63"/>
    </row>
    <row r="124" spans="2:24">
      <c r="L124" s="67"/>
      <c r="R124" s="63"/>
      <c r="S124" s="63"/>
      <c r="T124" s="63"/>
      <c r="U124" s="63"/>
      <c r="V124" s="63"/>
      <c r="W124" s="63"/>
      <c r="X124" s="63"/>
    </row>
    <row r="125" spans="2:24" s="20" customFormat="1">
      <c r="B125" s="20" t="s">
        <v>37</v>
      </c>
      <c r="H125" s="20" t="s">
        <v>9</v>
      </c>
      <c r="L125" s="68"/>
      <c r="N125" s="20" t="s">
        <v>10</v>
      </c>
      <c r="R125" s="72"/>
      <c r="S125" s="72"/>
      <c r="T125" s="20" t="s">
        <v>11</v>
      </c>
    </row>
    <row r="126" spans="2:24" s="22" customFormat="1">
      <c r="B126" s="22" t="s">
        <v>175</v>
      </c>
      <c r="H126" s="22" t="s">
        <v>13</v>
      </c>
      <c r="I126" s="22" t="s">
        <v>14</v>
      </c>
      <c r="J126" s="22" t="s">
        <v>15</v>
      </c>
      <c r="K126" s="22" t="s">
        <v>16</v>
      </c>
      <c r="L126" s="69" t="s">
        <v>17</v>
      </c>
      <c r="N126" s="22" t="s">
        <v>13</v>
      </c>
      <c r="O126" s="22" t="s">
        <v>14</v>
      </c>
      <c r="P126" s="22" t="s">
        <v>15</v>
      </c>
      <c r="Q126" s="22" t="s">
        <v>16</v>
      </c>
      <c r="R126" s="73" t="s">
        <v>17</v>
      </c>
      <c r="S126" s="73"/>
      <c r="T126" s="22" t="s">
        <v>13</v>
      </c>
      <c r="U126" s="22" t="s">
        <v>14</v>
      </c>
      <c r="V126" s="22" t="s">
        <v>15</v>
      </c>
      <c r="W126" s="22" t="s">
        <v>16</v>
      </c>
      <c r="X126" s="22" t="s">
        <v>17</v>
      </c>
    </row>
    <row r="127" spans="2:24" s="21" customFormat="1">
      <c r="H127" s="21" t="s">
        <v>18</v>
      </c>
      <c r="I127" s="21" t="s">
        <v>19</v>
      </c>
      <c r="J127" s="21" t="s">
        <v>20</v>
      </c>
      <c r="K127" s="21" t="s">
        <v>21</v>
      </c>
      <c r="L127" s="70" t="s">
        <v>22</v>
      </c>
      <c r="N127" s="21" t="s">
        <v>18</v>
      </c>
      <c r="O127" s="21" t="s">
        <v>19</v>
      </c>
      <c r="P127" s="21" t="s">
        <v>20</v>
      </c>
      <c r="Q127" s="21" t="s">
        <v>21</v>
      </c>
      <c r="R127" s="74" t="s">
        <v>22</v>
      </c>
      <c r="S127" s="74"/>
      <c r="T127" s="21" t="s">
        <v>18</v>
      </c>
      <c r="U127" s="21" t="s">
        <v>19</v>
      </c>
      <c r="V127" s="21" t="s">
        <v>20</v>
      </c>
      <c r="W127" s="21" t="s">
        <v>21</v>
      </c>
      <c r="X127" s="21" t="s">
        <v>22</v>
      </c>
    </row>
    <row r="128" spans="2:24">
      <c r="J128" s="38"/>
      <c r="L128" s="67"/>
      <c r="R128" s="63"/>
      <c r="S128" s="63"/>
      <c r="T128" s="63"/>
      <c r="U128" s="63"/>
      <c r="V128" s="63"/>
      <c r="W128" s="63"/>
      <c r="X128" s="63"/>
    </row>
    <row r="129" spans="2:33">
      <c r="B129" s="3" t="s">
        <v>23</v>
      </c>
      <c r="H129" s="117">
        <f>ROUND((1-$F$78)*F83,8)</f>
        <v>-7.3776900000000001E-3</v>
      </c>
      <c r="I129" s="118">
        <f>ROUND((1-$F$78)*$F$12*$F$18*$F$66/$F$73*$F$83,8)</f>
        <v>-3.3699899999999998E-3</v>
      </c>
      <c r="J129" s="37">
        <f t="shared" ref="J129:J140" si="13">ROUND((1-$F$78)*$F$13*$F24*$F52/$F$73*$F$83,8)</f>
        <v>-1.61192E-3</v>
      </c>
      <c r="K129" s="37">
        <f t="shared" ref="K129:K140" si="14">ROUND((1-$F$78)*$F$14*$F38/$F$73*$F$83,8)</f>
        <v>-6.2719999999999996E-5</v>
      </c>
      <c r="L129" s="66">
        <f t="shared" ref="L129:L140" si="15">ROUNDUP((1-$F$78)*$F$15*$F38/$F$74*$F$83,8)</f>
        <v>-2.6199999999999999E-6</v>
      </c>
      <c r="N129" s="117">
        <f>ROUND((1-$F$78)*F85,8)</f>
        <v>-1.84442E-3</v>
      </c>
      <c r="O129" s="118">
        <f>ROUND((1-$F$78)*$F$12*$F$18*$F$66/$F$73*$F$85,8)</f>
        <v>-8.4250000000000004E-4</v>
      </c>
      <c r="P129" s="37">
        <f t="shared" ref="P129:P140" si="16">ROUND((1-$F$78)*$F$13*$F24*$F52/$F$73*$F$85,8)</f>
        <v>-4.0297999999999999E-4</v>
      </c>
      <c r="Q129" s="37">
        <f t="shared" ref="Q129:Q140" si="17">ROUND((1-$F$78)*$F$14*$F38/$F$73*$F$85,8)</f>
        <v>-1.5679999999999999E-5</v>
      </c>
      <c r="R129" s="71">
        <f t="shared" ref="R129:R140" si="18">ROUNDUP((1-$F$78)*$F$15*$F38/$F$74*$F$85,8)</f>
        <v>-6.6000000000000003E-7</v>
      </c>
      <c r="S129" s="89"/>
      <c r="T129" s="117">
        <f>ROUND((1-F78)*F87,8)</f>
        <v>-5.9021500000000001E-3</v>
      </c>
      <c r="U129" s="118">
        <f>ROUND((1-$F$78)*$F$12*$F$18*$F$66/$F$73*$F$87,8)</f>
        <v>-2.6959900000000001E-3</v>
      </c>
      <c r="V129" s="90">
        <f t="shared" ref="V129:V140" si="19">ROUND((1-$F$78)*$F$13*$F24*$F52/$F$73*$F$87,8)</f>
        <v>-1.28954E-3</v>
      </c>
      <c r="W129" s="90">
        <f t="shared" ref="W129:W140" si="20">ROUND((1-$F$78)*$F$14*$F38/$F$73*$F$87,8)</f>
        <v>-5.0170000000000002E-5</v>
      </c>
      <c r="X129" s="71">
        <f t="shared" ref="X129:X140" si="21">ROUNDUP((1-$F$78)*$F$15*$F38/$F$74*$F$87,8)</f>
        <v>-2.0999999999999998E-6</v>
      </c>
      <c r="AG129" s="65"/>
    </row>
    <row r="130" spans="2:33">
      <c r="B130" s="3" t="s">
        <v>24</v>
      </c>
      <c r="H130" s="117"/>
      <c r="I130" s="118"/>
      <c r="J130" s="37">
        <f t="shared" si="13"/>
        <v>-1.3014299999999999E-3</v>
      </c>
      <c r="K130" s="37">
        <f t="shared" si="14"/>
        <v>-5.6069999999999997E-5</v>
      </c>
      <c r="L130" s="66">
        <f t="shared" si="15"/>
        <v>-2.34E-6</v>
      </c>
      <c r="N130" s="117"/>
      <c r="O130" s="118"/>
      <c r="P130" s="37">
        <f t="shared" si="16"/>
        <v>-3.2536000000000002E-4</v>
      </c>
      <c r="Q130" s="37">
        <f t="shared" si="17"/>
        <v>-1.402E-5</v>
      </c>
      <c r="R130" s="71">
        <f t="shared" si="18"/>
        <v>-5.8999999999999996E-7</v>
      </c>
      <c r="S130" s="89"/>
      <c r="T130" s="117"/>
      <c r="U130" s="118"/>
      <c r="V130" s="90">
        <f t="shared" si="19"/>
        <v>-1.0411400000000001E-3</v>
      </c>
      <c r="W130" s="90">
        <f t="shared" si="20"/>
        <v>-4.4849999999999999E-5</v>
      </c>
      <c r="X130" s="71">
        <f t="shared" si="21"/>
        <v>-1.8699999999999999E-6</v>
      </c>
      <c r="AG130" s="65"/>
    </row>
    <row r="131" spans="2:33">
      <c r="B131" s="3" t="s">
        <v>25</v>
      </c>
      <c r="H131" s="117"/>
      <c r="I131" s="118"/>
      <c r="J131" s="37">
        <f t="shared" si="13"/>
        <v>-1.1269400000000001E-3</v>
      </c>
      <c r="K131" s="37">
        <f t="shared" si="14"/>
        <v>-4.3829999999999999E-5</v>
      </c>
      <c r="L131" s="66">
        <f t="shared" si="15"/>
        <v>-1.8299999999999998E-6</v>
      </c>
      <c r="N131" s="117"/>
      <c r="O131" s="118"/>
      <c r="P131" s="37">
        <f t="shared" si="16"/>
        <v>-2.8173E-4</v>
      </c>
      <c r="Q131" s="37">
        <f t="shared" si="17"/>
        <v>-1.096E-5</v>
      </c>
      <c r="R131" s="71">
        <f t="shared" si="18"/>
        <v>-4.5999999999999999E-7</v>
      </c>
      <c r="S131" s="89"/>
      <c r="T131" s="117"/>
      <c r="U131" s="118"/>
      <c r="V131" s="90">
        <f t="shared" si="19"/>
        <v>-9.0154999999999999E-4</v>
      </c>
      <c r="W131" s="90">
        <f t="shared" si="20"/>
        <v>-3.506E-5</v>
      </c>
      <c r="X131" s="71">
        <f t="shared" si="21"/>
        <v>-1.4699999999999999E-6</v>
      </c>
    </row>
    <row r="132" spans="2:33">
      <c r="B132" s="3" t="s">
        <v>26</v>
      </c>
      <c r="H132" s="117"/>
      <c r="I132" s="118">
        <f>ROUND((1-$F$78)*$F$12*$F$19*$F$67/$F$73*$F$83,8)</f>
        <v>-1.80258E-3</v>
      </c>
      <c r="J132" s="37">
        <f t="shared" si="13"/>
        <v>-8.1315999999999995E-4</v>
      </c>
      <c r="K132" s="37">
        <f t="shared" si="14"/>
        <v>-3.2679999999999999E-5</v>
      </c>
      <c r="L132" s="66">
        <f t="shared" si="15"/>
        <v>-1.3699999999999998E-6</v>
      </c>
      <c r="N132" s="117"/>
      <c r="O132" s="118">
        <f>ROUND((1-$F$78)*$F$12*$F$19*$F$67/$F$73*$F$85,8)</f>
        <v>-4.5064999999999998E-4</v>
      </c>
      <c r="P132" s="37">
        <f t="shared" si="16"/>
        <v>-2.0328999999999999E-4</v>
      </c>
      <c r="Q132" s="37">
        <f t="shared" si="17"/>
        <v>-8.1699999999999997E-6</v>
      </c>
      <c r="R132" s="71">
        <f t="shared" si="18"/>
        <v>-3.4999999999999998E-7</v>
      </c>
      <c r="S132" s="89"/>
      <c r="T132" s="117"/>
      <c r="U132" s="118">
        <f>ROUND((1-$F$78)*$F$12*$F$19*$F$67/$F$73*$F$87,8)</f>
        <v>-1.4420699999999999E-3</v>
      </c>
      <c r="V132" s="90">
        <f t="shared" si="19"/>
        <v>-6.5052999999999997E-4</v>
      </c>
      <c r="W132" s="90">
        <f t="shared" si="20"/>
        <v>-2.6149999999999999E-5</v>
      </c>
      <c r="X132" s="71">
        <f t="shared" si="21"/>
        <v>-1.0899999999999999E-6</v>
      </c>
    </row>
    <row r="133" spans="2:33">
      <c r="B133" s="3" t="s">
        <v>27</v>
      </c>
      <c r="H133" s="117"/>
      <c r="I133" s="118"/>
      <c r="J133" s="37">
        <f t="shared" si="13"/>
        <v>-7.4439999999999999E-4</v>
      </c>
      <c r="K133" s="37">
        <f t="shared" si="14"/>
        <v>-2.8969999999999999E-5</v>
      </c>
      <c r="L133" s="66">
        <f t="shared" si="15"/>
        <v>-1.2099999999999998E-6</v>
      </c>
      <c r="N133" s="117"/>
      <c r="O133" s="118"/>
      <c r="P133" s="37">
        <f t="shared" si="16"/>
        <v>-1.861E-4</v>
      </c>
      <c r="Q133" s="37">
        <f t="shared" si="17"/>
        <v>-7.2400000000000001E-6</v>
      </c>
      <c r="R133" s="71">
        <f t="shared" si="18"/>
        <v>-3.1E-7</v>
      </c>
      <c r="S133" s="89"/>
      <c r="T133" s="117"/>
      <c r="U133" s="118"/>
      <c r="V133" s="90">
        <f t="shared" si="19"/>
        <v>-5.9551999999999999E-4</v>
      </c>
      <c r="W133" s="90">
        <f t="shared" si="20"/>
        <v>-2.3180000000000002E-5</v>
      </c>
      <c r="X133" s="71">
        <f t="shared" si="21"/>
        <v>-9.6999999999999982E-7</v>
      </c>
    </row>
    <row r="134" spans="2:33">
      <c r="B134" s="3" t="s">
        <v>28</v>
      </c>
      <c r="H134" s="117"/>
      <c r="I134" s="118"/>
      <c r="J134" s="37">
        <f t="shared" si="13"/>
        <v>-6.0486999999999997E-4</v>
      </c>
      <c r="K134" s="37">
        <f t="shared" si="14"/>
        <v>-2.4340000000000001E-5</v>
      </c>
      <c r="L134" s="66">
        <f t="shared" si="15"/>
        <v>-1.02E-6</v>
      </c>
      <c r="N134" s="117"/>
      <c r="O134" s="118"/>
      <c r="P134" s="37">
        <f t="shared" si="16"/>
        <v>-1.5122000000000001E-4</v>
      </c>
      <c r="Q134" s="37">
        <f t="shared" si="17"/>
        <v>-6.0800000000000002E-6</v>
      </c>
      <c r="R134" s="71">
        <f t="shared" si="18"/>
        <v>-2.6E-7</v>
      </c>
      <c r="S134" s="89"/>
      <c r="T134" s="117"/>
      <c r="U134" s="118"/>
      <c r="V134" s="90">
        <f t="shared" si="19"/>
        <v>-4.839E-4</v>
      </c>
      <c r="W134" s="90">
        <f t="shared" si="20"/>
        <v>-1.9470000000000002E-5</v>
      </c>
      <c r="X134" s="71">
        <f t="shared" si="21"/>
        <v>-8.1999999999999998E-7</v>
      </c>
    </row>
    <row r="135" spans="2:33">
      <c r="B135" s="3" t="s">
        <v>29</v>
      </c>
      <c r="H135" s="117"/>
      <c r="I135" s="118">
        <f>ROUND((1-$F$78)*$F$12*$F$20*$F$68/$F$73*$F$83,8)</f>
        <v>-1.4621E-3</v>
      </c>
      <c r="J135" s="37">
        <f t="shared" si="13"/>
        <v>-5.9026E-4</v>
      </c>
      <c r="K135" s="37">
        <f t="shared" si="14"/>
        <v>-2.296E-5</v>
      </c>
      <c r="L135" s="66">
        <f t="shared" si="15"/>
        <v>-9.5999999999999991E-7</v>
      </c>
      <c r="N135" s="117"/>
      <c r="O135" s="118">
        <f>ROUND((1-$F$78)*$F$12*$F$20*$F$68/$F$73*$F$85,8)</f>
        <v>-3.6551999999999998E-4</v>
      </c>
      <c r="P135" s="37">
        <f t="shared" si="16"/>
        <v>-1.4756E-4</v>
      </c>
      <c r="Q135" s="37">
        <f t="shared" si="17"/>
        <v>-5.7400000000000001E-6</v>
      </c>
      <c r="R135" s="71">
        <f t="shared" si="18"/>
        <v>-2.3999999999999998E-7</v>
      </c>
      <c r="S135" s="89"/>
      <c r="T135" s="117"/>
      <c r="U135" s="118">
        <f>ROUND((1-$F$78)*$F$12*$F$20*$F$68/$F$73*$F$87,8)</f>
        <v>-1.16968E-3</v>
      </c>
      <c r="V135" s="90">
        <f t="shared" si="19"/>
        <v>-4.7219999999999999E-4</v>
      </c>
      <c r="W135" s="90">
        <f t="shared" si="20"/>
        <v>-1.8369999999999999E-5</v>
      </c>
      <c r="X135" s="71">
        <f t="shared" si="21"/>
        <v>-7.7000000000000004E-7</v>
      </c>
    </row>
    <row r="136" spans="2:33">
      <c r="B136" s="3" t="s">
        <v>30</v>
      </c>
      <c r="H136" s="117"/>
      <c r="I136" s="118"/>
      <c r="J136" s="37">
        <f t="shared" si="13"/>
        <v>-5.6112000000000002E-4</v>
      </c>
      <c r="K136" s="37">
        <f t="shared" si="14"/>
        <v>-2.1860000000000001E-5</v>
      </c>
      <c r="L136" s="66">
        <f t="shared" si="15"/>
        <v>-9.1999999999999998E-7</v>
      </c>
      <c r="N136" s="117"/>
      <c r="O136" s="118"/>
      <c r="P136" s="37">
        <f t="shared" si="16"/>
        <v>-1.4028000000000001E-4</v>
      </c>
      <c r="Q136" s="37">
        <f t="shared" si="17"/>
        <v>-5.4700000000000001E-6</v>
      </c>
      <c r="R136" s="71">
        <f t="shared" si="18"/>
        <v>-2.3000000000000002E-7</v>
      </c>
      <c r="S136" s="89"/>
      <c r="T136" s="117"/>
      <c r="U136" s="118"/>
      <c r="V136" s="90">
        <f t="shared" si="19"/>
        <v>-4.4890000000000002E-4</v>
      </c>
      <c r="W136" s="90">
        <f t="shared" si="20"/>
        <v>-1.749E-5</v>
      </c>
      <c r="X136" s="71">
        <f t="shared" si="21"/>
        <v>-7.3E-7</v>
      </c>
    </row>
    <row r="137" spans="2:33">
      <c r="B137" s="3" t="s">
        <v>31</v>
      </c>
      <c r="H137" s="117"/>
      <c r="I137" s="118"/>
      <c r="J137" s="37">
        <f t="shared" si="13"/>
        <v>-6.0305000000000005E-4</v>
      </c>
      <c r="K137" s="37">
        <f t="shared" si="14"/>
        <v>-2.427E-5</v>
      </c>
      <c r="L137" s="66">
        <f t="shared" si="15"/>
        <v>-1.02E-6</v>
      </c>
      <c r="N137" s="117"/>
      <c r="O137" s="118"/>
      <c r="P137" s="37">
        <f t="shared" si="16"/>
        <v>-1.5076E-4</v>
      </c>
      <c r="Q137" s="37">
        <f t="shared" si="17"/>
        <v>-6.0700000000000003E-6</v>
      </c>
      <c r="R137" s="71">
        <f t="shared" si="18"/>
        <v>-2.6E-7</v>
      </c>
      <c r="S137" s="89"/>
      <c r="T137" s="117"/>
      <c r="U137" s="118"/>
      <c r="V137" s="90">
        <f t="shared" si="19"/>
        <v>-4.8244E-4</v>
      </c>
      <c r="W137" s="90">
        <f t="shared" si="20"/>
        <v>-1.9409999999999999E-5</v>
      </c>
      <c r="X137" s="71">
        <f t="shared" si="21"/>
        <v>-8.0999999999999997E-7</v>
      </c>
    </row>
    <row r="138" spans="2:33">
      <c r="B138" s="3" t="s">
        <v>32</v>
      </c>
      <c r="H138" s="117"/>
      <c r="I138" s="118">
        <f>ROUND((1-$F$78)*$F$12*$F$21*$F$69/$F$73*$F$83,8)</f>
        <v>-2.5685500000000002E-3</v>
      </c>
      <c r="J138" s="37">
        <f t="shared" si="13"/>
        <v>-7.1526000000000001E-4</v>
      </c>
      <c r="K138" s="37">
        <f t="shared" si="14"/>
        <v>-2.7840000000000001E-5</v>
      </c>
      <c r="L138" s="66">
        <f t="shared" si="15"/>
        <v>-1.1599999999999999E-6</v>
      </c>
      <c r="N138" s="117"/>
      <c r="O138" s="118">
        <f>ROUND((1-$F$78)*$F$12*$F$21*$F$69/$F$73*$F$85,8)</f>
        <v>-6.4214000000000003E-4</v>
      </c>
      <c r="P138" s="37">
        <f t="shared" si="16"/>
        <v>-1.7882E-4</v>
      </c>
      <c r="Q138" s="37">
        <f t="shared" si="17"/>
        <v>-6.9600000000000003E-6</v>
      </c>
      <c r="R138" s="71">
        <f t="shared" si="18"/>
        <v>-2.9000000000000003E-7</v>
      </c>
      <c r="S138" s="89"/>
      <c r="T138" s="117"/>
      <c r="U138" s="118">
        <f>ROUND((1-$F$78)*$F$12*$F$21*$F$69/$F$73*$F$87,8)</f>
        <v>-2.0548400000000001E-3</v>
      </c>
      <c r="V138" s="90">
        <f t="shared" si="19"/>
        <v>-5.7220999999999997E-4</v>
      </c>
      <c r="W138" s="90">
        <f t="shared" si="20"/>
        <v>-2.2269999999999999E-5</v>
      </c>
      <c r="X138" s="71">
        <f t="shared" si="21"/>
        <v>-9.2999999999999999E-7</v>
      </c>
    </row>
    <row r="139" spans="2:33">
      <c r="B139" s="3" t="s">
        <v>33</v>
      </c>
      <c r="H139" s="117"/>
      <c r="I139" s="118"/>
      <c r="J139" s="37">
        <f t="shared" si="13"/>
        <v>-1.02782E-3</v>
      </c>
      <c r="K139" s="37">
        <f t="shared" si="14"/>
        <v>-4.1319999999999997E-5</v>
      </c>
      <c r="L139" s="66">
        <f t="shared" si="15"/>
        <v>-1.73E-6</v>
      </c>
      <c r="N139" s="117"/>
      <c r="O139" s="118"/>
      <c r="P139" s="37">
        <f t="shared" si="16"/>
        <v>-2.5695999999999998E-4</v>
      </c>
      <c r="Q139" s="37">
        <f t="shared" si="17"/>
        <v>-1.0329999999999999E-5</v>
      </c>
      <c r="R139" s="71">
        <f t="shared" si="18"/>
        <v>-4.4000000000000002E-7</v>
      </c>
      <c r="S139" s="89"/>
      <c r="T139" s="117"/>
      <c r="U139" s="118"/>
      <c r="V139" s="90">
        <f t="shared" si="19"/>
        <v>-8.2226E-4</v>
      </c>
      <c r="W139" s="90">
        <f t="shared" si="20"/>
        <v>-3.3049999999999997E-5</v>
      </c>
      <c r="X139" s="71">
        <f t="shared" si="21"/>
        <v>-1.3799999999999999E-6</v>
      </c>
    </row>
    <row r="140" spans="2:33">
      <c r="B140" s="3" t="s">
        <v>34</v>
      </c>
      <c r="H140" s="117"/>
      <c r="I140" s="118"/>
      <c r="J140" s="37">
        <f t="shared" si="13"/>
        <v>-1.3384099999999999E-3</v>
      </c>
      <c r="K140" s="37">
        <f t="shared" si="14"/>
        <v>-5.2070000000000001E-5</v>
      </c>
      <c r="L140" s="66">
        <f t="shared" si="15"/>
        <v>-2.17E-6</v>
      </c>
      <c r="N140" s="117"/>
      <c r="O140" s="118"/>
      <c r="P140" s="37">
        <f t="shared" si="16"/>
        <v>-3.346E-4</v>
      </c>
      <c r="Q140" s="37">
        <f t="shared" si="17"/>
        <v>-1.3020000000000001E-5</v>
      </c>
      <c r="R140" s="71">
        <f t="shared" si="18"/>
        <v>-5.5000000000000003E-7</v>
      </c>
      <c r="S140" s="89"/>
      <c r="T140" s="117"/>
      <c r="U140" s="118"/>
      <c r="V140" s="90">
        <f t="shared" si="19"/>
        <v>-1.07073E-3</v>
      </c>
      <c r="W140" s="90">
        <f t="shared" si="20"/>
        <v>-4.1650000000000003E-5</v>
      </c>
      <c r="X140" s="71">
        <f t="shared" si="21"/>
        <v>-1.7399999999999999E-6</v>
      </c>
    </row>
    <row r="141" spans="2:33">
      <c r="L141" s="67"/>
      <c r="R141" s="63"/>
      <c r="S141" s="63"/>
      <c r="T141" s="63"/>
      <c r="U141" s="63"/>
      <c r="V141" s="63"/>
      <c r="W141" s="63"/>
      <c r="X141" s="63"/>
    </row>
    <row r="142" spans="2:33" s="20" customFormat="1" ht="26.4">
      <c r="B142" s="53" t="s">
        <v>176</v>
      </c>
      <c r="H142" s="20" t="s">
        <v>9</v>
      </c>
      <c r="L142" s="68"/>
      <c r="N142" s="20" t="s">
        <v>10</v>
      </c>
      <c r="R142" s="72"/>
      <c r="S142" s="72"/>
      <c r="T142" s="72"/>
      <c r="U142" s="72"/>
      <c r="V142" s="72"/>
      <c r="W142" s="72"/>
      <c r="X142" s="72"/>
    </row>
    <row r="143" spans="2:33" s="22" customFormat="1">
      <c r="B143" s="22" t="s">
        <v>40</v>
      </c>
      <c r="H143" s="22" t="s">
        <v>13</v>
      </c>
      <c r="I143" s="22" t="s">
        <v>14</v>
      </c>
      <c r="J143" s="22" t="s">
        <v>15</v>
      </c>
      <c r="K143" s="22" t="s">
        <v>16</v>
      </c>
      <c r="L143" s="69" t="s">
        <v>17</v>
      </c>
      <c r="N143" s="22" t="s">
        <v>13</v>
      </c>
      <c r="O143" s="22" t="s">
        <v>14</v>
      </c>
      <c r="P143" s="22" t="s">
        <v>15</v>
      </c>
      <c r="Q143" s="22" t="s">
        <v>16</v>
      </c>
      <c r="R143" s="73" t="s">
        <v>17</v>
      </c>
      <c r="S143" s="73"/>
      <c r="T143" s="73"/>
      <c r="U143" s="73"/>
      <c r="V143" s="73"/>
      <c r="W143" s="73"/>
      <c r="X143" s="73"/>
    </row>
    <row r="144" spans="2:33" s="21" customFormat="1">
      <c r="H144" s="21" t="s">
        <v>18</v>
      </c>
      <c r="I144" s="21" t="s">
        <v>19</v>
      </c>
      <c r="J144" s="21" t="s">
        <v>20</v>
      </c>
      <c r="K144" s="21" t="s">
        <v>21</v>
      </c>
      <c r="L144" s="70" t="s">
        <v>22</v>
      </c>
      <c r="N144" s="21" t="s">
        <v>18</v>
      </c>
      <c r="O144" s="21" t="s">
        <v>19</v>
      </c>
      <c r="P144" s="21" t="s">
        <v>20</v>
      </c>
      <c r="Q144" s="21" t="s">
        <v>21</v>
      </c>
      <c r="R144" s="74" t="s">
        <v>22</v>
      </c>
      <c r="S144" s="74"/>
      <c r="T144" s="74"/>
      <c r="U144" s="74"/>
      <c r="V144" s="74"/>
      <c r="W144" s="74"/>
      <c r="X144" s="74"/>
    </row>
    <row r="145" spans="2:24">
      <c r="L145" s="67"/>
      <c r="R145" s="63"/>
      <c r="S145" s="63"/>
      <c r="T145" s="63"/>
      <c r="U145" s="63"/>
      <c r="V145" s="63"/>
      <c r="W145" s="63"/>
      <c r="X145" s="63"/>
    </row>
    <row r="146" spans="2:24">
      <c r="B146" s="3" t="s">
        <v>23</v>
      </c>
      <c r="H146" s="117">
        <f>ROUND((1-$F$79)*F84,8)</f>
        <v>-6.4503E-3</v>
      </c>
      <c r="I146" s="118">
        <f>ROUND((1-$F$79)*$F$12*$F$18*$F$66/$F$73*$F$84,8)</f>
        <v>-2.9463699999999998E-3</v>
      </c>
      <c r="J146" s="37">
        <f t="shared" ref="J146:J157" si="22">ROUND((1-$F$79)*$F$13*$F24*$F52/$F$73*$F$84,8)</f>
        <v>-1.4093E-3</v>
      </c>
      <c r="K146" s="37">
        <f t="shared" ref="K146:K157" si="23">ROUND((1-$F$79)*$F$14*$F38/$F$73*$F$84,8)</f>
        <v>-5.4830000000000002E-5</v>
      </c>
      <c r="L146" s="66">
        <f t="shared" ref="L146:L157" si="24">ROUNDUP((1-$F$79)*$F$15*$F38/$F$74*$F$84,8)</f>
        <v>-2.2900000000000001E-6</v>
      </c>
      <c r="N146" s="117">
        <f>ROUND((1-$F$79)*F86,8)</f>
        <v>-1.61257E-3</v>
      </c>
      <c r="O146" s="118">
        <f>ROUND((1-$F$79)*$F$12*$F$18*$F$66/$F$73*$F$86,8)</f>
        <v>-7.3658999999999997E-4</v>
      </c>
      <c r="P146" s="37">
        <f t="shared" ref="P146:P157" si="25">ROUND((1-$F$79)*$F$13*$F24*$F52/$F$73*$F$86,8)</f>
        <v>-3.5232999999999998E-4</v>
      </c>
      <c r="Q146" s="37">
        <f t="shared" ref="Q146:Q157" si="26">ROUND((1-$F$79)*$F$14*$F38/$F$73*$F$86,8)</f>
        <v>-1.3709999999999999E-5</v>
      </c>
      <c r="R146" s="71">
        <f t="shared" ref="R146:R157" si="27">ROUNDUP((1-$F$79)*$F$15*$F38/$F$74*$F$86,8)</f>
        <v>-5.8000000000000006E-7</v>
      </c>
      <c r="S146" s="89"/>
      <c r="T146" s="89"/>
      <c r="U146" s="89"/>
      <c r="V146" s="89"/>
      <c r="W146" s="89"/>
      <c r="X146" s="89"/>
    </row>
    <row r="147" spans="2:24">
      <c r="B147" s="3" t="s">
        <v>24</v>
      </c>
      <c r="H147" s="117"/>
      <c r="I147" s="118"/>
      <c r="J147" s="37">
        <f t="shared" si="22"/>
        <v>-1.13783E-3</v>
      </c>
      <c r="K147" s="37">
        <f t="shared" si="23"/>
        <v>-4.9020000000000002E-5</v>
      </c>
      <c r="L147" s="66">
        <f t="shared" si="24"/>
        <v>-2.0499999999999999E-6</v>
      </c>
      <c r="N147" s="117"/>
      <c r="O147" s="118"/>
      <c r="P147" s="37">
        <f t="shared" si="25"/>
        <v>-2.8446E-4</v>
      </c>
      <c r="Q147" s="37">
        <f t="shared" si="26"/>
        <v>-1.225E-5</v>
      </c>
      <c r="R147" s="71">
        <f t="shared" si="27"/>
        <v>-5.2E-7</v>
      </c>
      <c r="S147" s="89"/>
      <c r="T147" s="89"/>
      <c r="U147" s="89"/>
      <c r="V147" s="89"/>
      <c r="W147" s="89"/>
      <c r="X147" s="89"/>
    </row>
    <row r="148" spans="2:24">
      <c r="B148" s="3" t="s">
        <v>25</v>
      </c>
      <c r="H148" s="117"/>
      <c r="I148" s="118"/>
      <c r="J148" s="37">
        <f t="shared" si="22"/>
        <v>-9.8528000000000005E-4</v>
      </c>
      <c r="K148" s="37">
        <f t="shared" si="23"/>
        <v>-3.8319999999999999E-5</v>
      </c>
      <c r="L148" s="66">
        <f t="shared" si="24"/>
        <v>-1.5999999999999999E-6</v>
      </c>
      <c r="N148" s="117"/>
      <c r="O148" s="118"/>
      <c r="P148" s="37">
        <f t="shared" si="25"/>
        <v>-2.4632000000000001E-4</v>
      </c>
      <c r="Q148" s="37">
        <f t="shared" si="26"/>
        <v>-9.5799999999999998E-6</v>
      </c>
      <c r="R148" s="71">
        <f t="shared" si="27"/>
        <v>-4.0000000000000003E-7</v>
      </c>
      <c r="S148" s="89"/>
      <c r="T148" s="89"/>
      <c r="U148" s="89"/>
      <c r="V148" s="89"/>
      <c r="W148" s="89"/>
      <c r="X148" s="89"/>
    </row>
    <row r="149" spans="2:24">
      <c r="B149" s="3" t="s">
        <v>26</v>
      </c>
      <c r="H149" s="117"/>
      <c r="I149" s="118">
        <f>ROUND((1-$F$79)*$F$12*$F$19*$F$67/$F$73*$F$84,8)</f>
        <v>-1.57599E-3</v>
      </c>
      <c r="J149" s="37">
        <f t="shared" si="22"/>
        <v>-7.1095000000000002E-4</v>
      </c>
      <c r="K149" s="37">
        <f t="shared" si="23"/>
        <v>-2.8580000000000001E-5</v>
      </c>
      <c r="L149" s="66">
        <f t="shared" si="24"/>
        <v>-1.1999999999999999E-6</v>
      </c>
      <c r="N149" s="117"/>
      <c r="O149" s="118">
        <f>ROUND((1-$F$79)*$F$12*$F$19*$F$67/$F$73*$F$86,8)</f>
        <v>-3.9399999999999998E-4</v>
      </c>
      <c r="P149" s="37">
        <f t="shared" si="25"/>
        <v>-1.7773999999999999E-4</v>
      </c>
      <c r="Q149" s="37">
        <f t="shared" si="26"/>
        <v>-7.1400000000000002E-6</v>
      </c>
      <c r="R149" s="71">
        <f t="shared" si="27"/>
        <v>-2.9999999999999999E-7</v>
      </c>
      <c r="S149" s="89"/>
      <c r="T149" s="89"/>
      <c r="U149" s="89"/>
      <c r="V149" s="89"/>
      <c r="W149" s="89"/>
      <c r="X149" s="89"/>
    </row>
    <row r="150" spans="2:24">
      <c r="B150" s="3" t="s">
        <v>27</v>
      </c>
      <c r="H150" s="117"/>
      <c r="I150" s="118"/>
      <c r="J150" s="37">
        <f t="shared" si="22"/>
        <v>-6.5083000000000003E-4</v>
      </c>
      <c r="K150" s="37">
        <f t="shared" si="23"/>
        <v>-2.533E-5</v>
      </c>
      <c r="L150" s="66">
        <f t="shared" si="24"/>
        <v>-1.0599999999999998E-6</v>
      </c>
      <c r="N150" s="117"/>
      <c r="O150" s="118"/>
      <c r="P150" s="37">
        <f t="shared" si="25"/>
        <v>-1.6270999999999999E-4</v>
      </c>
      <c r="Q150" s="37">
        <f t="shared" si="26"/>
        <v>-6.3300000000000004E-6</v>
      </c>
      <c r="R150" s="71">
        <f t="shared" si="27"/>
        <v>-2.7000000000000001E-7</v>
      </c>
      <c r="S150" s="89"/>
      <c r="T150" s="89"/>
      <c r="U150" s="89"/>
      <c r="V150" s="89"/>
      <c r="W150" s="89"/>
      <c r="X150" s="89"/>
    </row>
    <row r="151" spans="2:24">
      <c r="B151" s="3" t="s">
        <v>28</v>
      </c>
      <c r="H151" s="117"/>
      <c r="I151" s="118"/>
      <c r="J151" s="37">
        <f t="shared" si="22"/>
        <v>-5.2884000000000004E-4</v>
      </c>
      <c r="K151" s="37">
        <f t="shared" si="23"/>
        <v>-2.128E-5</v>
      </c>
      <c r="L151" s="66">
        <f t="shared" si="24"/>
        <v>-8.9000000000000006E-7</v>
      </c>
      <c r="N151" s="117"/>
      <c r="O151" s="118"/>
      <c r="P151" s="37">
        <f t="shared" si="25"/>
        <v>-1.3221000000000001E-4</v>
      </c>
      <c r="Q151" s="37">
        <f t="shared" si="26"/>
        <v>-5.3199999999999999E-6</v>
      </c>
      <c r="R151" s="71">
        <f t="shared" si="27"/>
        <v>-2.3000000000000002E-7</v>
      </c>
      <c r="S151" s="89"/>
      <c r="T151" s="89"/>
      <c r="U151" s="89"/>
      <c r="V151" s="89"/>
      <c r="W151" s="89"/>
      <c r="X151" s="89"/>
    </row>
    <row r="152" spans="2:24">
      <c r="B152" s="3" t="s">
        <v>29</v>
      </c>
      <c r="H152" s="117"/>
      <c r="I152" s="118">
        <f>ROUND((1-$F$79)*$F$12*$F$20*$F$68/$F$73*$F$84,8)</f>
        <v>-1.2783099999999999E-3</v>
      </c>
      <c r="J152" s="37">
        <f t="shared" si="22"/>
        <v>-5.1606000000000004E-4</v>
      </c>
      <c r="K152" s="37">
        <f t="shared" si="23"/>
        <v>-2.0069999999999999E-5</v>
      </c>
      <c r="L152" s="66">
        <f t="shared" si="24"/>
        <v>-8.4E-7</v>
      </c>
      <c r="N152" s="117"/>
      <c r="O152" s="118">
        <f>ROUND((1-$F$79)*$F$12*$F$20*$F$68/$F$73*$F$86,8)</f>
        <v>-3.1958000000000003E-4</v>
      </c>
      <c r="P152" s="37">
        <f t="shared" si="25"/>
        <v>-1.2901000000000001E-4</v>
      </c>
      <c r="Q152" s="37">
        <f t="shared" si="26"/>
        <v>-5.0200000000000002E-6</v>
      </c>
      <c r="R152" s="71">
        <f t="shared" si="27"/>
        <v>-2.1E-7</v>
      </c>
      <c r="S152" s="89"/>
      <c r="T152" s="89"/>
      <c r="U152" s="89"/>
      <c r="V152" s="89"/>
      <c r="W152" s="89"/>
      <c r="X152" s="89"/>
    </row>
    <row r="153" spans="2:24">
      <c r="B153" s="3" t="s">
        <v>30</v>
      </c>
      <c r="H153" s="117"/>
      <c r="I153" s="118"/>
      <c r="J153" s="37">
        <f t="shared" si="22"/>
        <v>-4.9058000000000001E-4</v>
      </c>
      <c r="K153" s="37">
        <f t="shared" si="23"/>
        <v>-1.9110000000000002E-5</v>
      </c>
      <c r="L153" s="66">
        <f t="shared" si="24"/>
        <v>-7.9999999999999996E-7</v>
      </c>
      <c r="N153" s="117"/>
      <c r="O153" s="118"/>
      <c r="P153" s="37">
        <f t="shared" si="25"/>
        <v>-1.2265E-4</v>
      </c>
      <c r="Q153" s="37">
        <f t="shared" si="26"/>
        <v>-4.78E-6</v>
      </c>
      <c r="R153" s="71">
        <f t="shared" si="27"/>
        <v>-2.0000000000000002E-7</v>
      </c>
      <c r="S153" s="89"/>
      <c r="T153" s="89"/>
      <c r="U153" s="89"/>
      <c r="V153" s="89"/>
      <c r="W153" s="89"/>
      <c r="X153" s="89"/>
    </row>
    <row r="154" spans="2:24">
      <c r="B154" s="3" t="s">
        <v>31</v>
      </c>
      <c r="H154" s="117"/>
      <c r="I154" s="118"/>
      <c r="J154" s="37">
        <f t="shared" si="22"/>
        <v>-5.2725000000000005E-4</v>
      </c>
      <c r="K154" s="37">
        <f t="shared" si="23"/>
        <v>-2.122E-5</v>
      </c>
      <c r="L154" s="66">
        <f t="shared" si="24"/>
        <v>-8.9000000000000006E-7</v>
      </c>
      <c r="N154" s="117"/>
      <c r="O154" s="118"/>
      <c r="P154" s="37">
        <f t="shared" si="25"/>
        <v>-1.3181E-4</v>
      </c>
      <c r="Q154" s="37">
        <f t="shared" si="26"/>
        <v>-5.3000000000000001E-6</v>
      </c>
      <c r="R154" s="71">
        <f t="shared" si="27"/>
        <v>-2.3000000000000002E-7</v>
      </c>
      <c r="S154" s="89"/>
      <c r="T154" s="89"/>
      <c r="U154" s="89"/>
      <c r="V154" s="89"/>
      <c r="W154" s="89"/>
      <c r="X154" s="89"/>
    </row>
    <row r="155" spans="2:24">
      <c r="B155" s="3" t="s">
        <v>32</v>
      </c>
      <c r="H155" s="117"/>
      <c r="I155" s="118">
        <f>ROUND((1-$F$79)*$F$12*$F$21*$F$69/$F$73*$F$84,8)</f>
        <v>-2.2456799999999999E-3</v>
      </c>
      <c r="J155" s="37">
        <f t="shared" si="22"/>
        <v>-6.2534999999999999E-4</v>
      </c>
      <c r="K155" s="37">
        <f t="shared" si="23"/>
        <v>-2.4340000000000001E-5</v>
      </c>
      <c r="L155" s="66">
        <f t="shared" si="24"/>
        <v>-1.02E-6</v>
      </c>
      <c r="N155" s="117"/>
      <c r="O155" s="118">
        <f>ROUND((1-$F$79)*$F$12*$F$21*$F$69/$F$73*$F$86,8)</f>
        <v>-5.6141999999999997E-4</v>
      </c>
      <c r="P155" s="37">
        <f t="shared" si="25"/>
        <v>-1.5634000000000001E-4</v>
      </c>
      <c r="Q155" s="37">
        <f t="shared" si="26"/>
        <v>-6.0800000000000002E-6</v>
      </c>
      <c r="R155" s="71">
        <f t="shared" si="27"/>
        <v>-2.6E-7</v>
      </c>
      <c r="S155" s="89"/>
      <c r="T155" s="89"/>
      <c r="U155" s="89"/>
      <c r="V155" s="89"/>
      <c r="W155" s="89"/>
      <c r="X155" s="89"/>
    </row>
    <row r="156" spans="2:24">
      <c r="B156" s="3" t="s">
        <v>33</v>
      </c>
      <c r="H156" s="117"/>
      <c r="I156" s="118"/>
      <c r="J156" s="37">
        <f t="shared" si="22"/>
        <v>-8.9862000000000004E-4</v>
      </c>
      <c r="K156" s="37">
        <f t="shared" si="23"/>
        <v>-3.612E-5</v>
      </c>
      <c r="L156" s="66">
        <f t="shared" si="24"/>
        <v>-1.5099999999999999E-6</v>
      </c>
      <c r="N156" s="117"/>
      <c r="O156" s="118"/>
      <c r="P156" s="37">
        <f t="shared" si="25"/>
        <v>-2.2466000000000001E-4</v>
      </c>
      <c r="Q156" s="37">
        <f t="shared" si="26"/>
        <v>-9.0299999999999999E-6</v>
      </c>
      <c r="R156" s="71">
        <f t="shared" si="27"/>
        <v>-3.8000000000000001E-7</v>
      </c>
      <c r="S156" s="89"/>
      <c r="T156" s="89"/>
      <c r="U156" s="89"/>
      <c r="V156" s="89"/>
      <c r="W156" s="89"/>
      <c r="X156" s="89"/>
    </row>
    <row r="157" spans="2:24">
      <c r="B157" s="3" t="s">
        <v>34</v>
      </c>
      <c r="H157" s="117"/>
      <c r="I157" s="118"/>
      <c r="J157" s="37">
        <f t="shared" si="22"/>
        <v>-1.1701700000000001E-3</v>
      </c>
      <c r="K157" s="37">
        <f t="shared" si="23"/>
        <v>-4.5519999999999998E-5</v>
      </c>
      <c r="L157" s="66">
        <f t="shared" si="24"/>
        <v>-1.8999999999999998E-6</v>
      </c>
      <c r="N157" s="117"/>
      <c r="O157" s="118"/>
      <c r="P157" s="37">
        <f t="shared" si="25"/>
        <v>-2.9253999999999999E-4</v>
      </c>
      <c r="Q157" s="37">
        <f t="shared" si="26"/>
        <v>-1.1379999999999999E-5</v>
      </c>
      <c r="R157" s="71">
        <f t="shared" si="27"/>
        <v>-4.7999999999999996E-7</v>
      </c>
      <c r="S157" s="89"/>
      <c r="T157" s="89"/>
      <c r="U157" s="89"/>
      <c r="V157" s="89"/>
      <c r="W157" s="89"/>
      <c r="X157" s="89"/>
    </row>
    <row r="158" spans="2:24">
      <c r="H158" s="54"/>
      <c r="I158" s="55"/>
      <c r="J158" s="56"/>
      <c r="K158" s="56"/>
      <c r="L158" s="57"/>
      <c r="N158" s="54"/>
      <c r="O158" s="55"/>
      <c r="P158" s="56"/>
      <c r="Q158" s="56"/>
      <c r="R158" s="57"/>
      <c r="S158" s="57"/>
      <c r="T158" s="57"/>
      <c r="U158" s="57"/>
      <c r="V158" s="57"/>
      <c r="W158" s="57"/>
      <c r="X158" s="57"/>
    </row>
  </sheetData>
  <mergeCells count="53">
    <mergeCell ref="T129:T140"/>
    <mergeCell ref="U129:U131"/>
    <mergeCell ref="U132:U134"/>
    <mergeCell ref="U135:U137"/>
    <mergeCell ref="U138:U140"/>
    <mergeCell ref="T93:T104"/>
    <mergeCell ref="U93:U95"/>
    <mergeCell ref="U96:U98"/>
    <mergeCell ref="U99:U101"/>
    <mergeCell ref="U102:U104"/>
    <mergeCell ref="O93:O95"/>
    <mergeCell ref="I96:I98"/>
    <mergeCell ref="O96:O98"/>
    <mergeCell ref="I99:I101"/>
    <mergeCell ref="O99:O101"/>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I102:I104"/>
    <mergeCell ref="O102:O104"/>
    <mergeCell ref="H129:H140"/>
    <mergeCell ref="I129:I131"/>
    <mergeCell ref="N129:N140"/>
    <mergeCell ref="O129:O131"/>
    <mergeCell ref="I132:I134"/>
    <mergeCell ref="O132:O134"/>
    <mergeCell ref="I135:I137"/>
    <mergeCell ref="O135:O137"/>
    <mergeCell ref="I138:I140"/>
    <mergeCell ref="O138:O140"/>
    <mergeCell ref="H146:H157"/>
    <mergeCell ref="I146:I148"/>
    <mergeCell ref="N146:N157"/>
    <mergeCell ref="O146:O148"/>
    <mergeCell ref="I149:I151"/>
    <mergeCell ref="O149:O151"/>
    <mergeCell ref="I152:I154"/>
    <mergeCell ref="O152:O154"/>
    <mergeCell ref="I155:I157"/>
    <mergeCell ref="O155:O157"/>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33203125" defaultRowHeight="13.2"/>
  <cols>
    <col min="1" max="16384" width="9.332031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A2:U137"/>
  <sheetViews>
    <sheetView showGridLines="0" zoomScale="85" zoomScaleNormal="85" workbookViewId="0">
      <pane xSplit="4" ySplit="7" topLeftCell="E50" activePane="bottomRight" state="frozen"/>
      <selection pane="topRight" activeCell="N56" sqref="N56"/>
      <selection pane="bottomLeft" activeCell="N56" sqref="N56"/>
      <selection pane="bottomRight" activeCell="O106" sqref="O106"/>
    </sheetView>
  </sheetViews>
  <sheetFormatPr defaultColWidth="9.33203125" defaultRowHeight="13.2"/>
  <cols>
    <col min="1" max="1" width="2.6640625" style="3" customWidth="1"/>
    <col min="2" max="2" width="80.33203125" style="3" bestFit="1" customWidth="1"/>
    <col min="3" max="3" width="2.6640625" style="3" customWidth="1"/>
    <col min="4" max="4" width="15.33203125" style="3" bestFit="1" customWidth="1"/>
    <col min="5" max="5" width="2.6640625" style="3" customWidth="1"/>
    <col min="6" max="6" width="13.6640625" style="3" customWidth="1"/>
    <col min="7" max="7" width="2.6640625" style="3" customWidth="1"/>
    <col min="8" max="17" width="8.33203125" style="3" customWidth="1"/>
    <col min="18" max="18" width="2.6640625" style="3" customWidth="1"/>
    <col min="19" max="19" width="39.6640625" style="3" bestFit="1" customWidth="1"/>
    <col min="20" max="20" width="2.6640625" style="3" customWidth="1"/>
    <col min="21" max="34" width="13.6640625" style="3" customWidth="1"/>
    <col min="35" max="16384" width="9.33203125" style="3"/>
  </cols>
  <sheetData>
    <row r="2" spans="1:21" s="7" customFormat="1" ht="17.399999999999999">
      <c r="B2" s="7" t="s">
        <v>41</v>
      </c>
    </row>
    <row r="4" spans="1:21">
      <c r="B4" s="10" t="s">
        <v>42</v>
      </c>
      <c r="C4" s="2"/>
      <c r="I4"/>
      <c r="K4"/>
    </row>
    <row r="5" spans="1:21" ht="23.25" customHeight="1">
      <c r="B5" s="114" t="s">
        <v>43</v>
      </c>
      <c r="C5" s="114"/>
      <c r="D5" s="114"/>
      <c r="F5" s="8"/>
    </row>
    <row r="7" spans="1:21" s="5" customFormat="1">
      <c r="B7" s="5" t="s">
        <v>7</v>
      </c>
      <c r="D7" s="5" t="s">
        <v>44</v>
      </c>
      <c r="F7" s="5" t="s">
        <v>45</v>
      </c>
      <c r="H7" s="27">
        <v>2017</v>
      </c>
      <c r="I7" s="29">
        <v>2018</v>
      </c>
      <c r="J7" s="27">
        <v>2019</v>
      </c>
      <c r="K7" s="29">
        <v>2020</v>
      </c>
      <c r="L7" s="27">
        <v>2021</v>
      </c>
      <c r="M7" s="27">
        <v>2022</v>
      </c>
      <c r="N7" s="27">
        <v>2023</v>
      </c>
      <c r="O7" s="27">
        <v>2024</v>
      </c>
      <c r="P7" s="27">
        <v>2025</v>
      </c>
      <c r="Q7" s="27">
        <v>2026</v>
      </c>
      <c r="S7" s="5" t="s">
        <v>46</v>
      </c>
      <c r="U7" s="5" t="s">
        <v>47</v>
      </c>
    </row>
    <row r="9" spans="1:21" s="5" customFormat="1">
      <c r="B9" s="5" t="s">
        <v>48</v>
      </c>
    </row>
    <row r="11" spans="1:21">
      <c r="B11" s="48" t="s">
        <v>48</v>
      </c>
    </row>
    <row r="12" spans="1:21">
      <c r="A12" s="2"/>
      <c r="B12" s="3" t="s">
        <v>49</v>
      </c>
      <c r="L12" s="47">
        <v>0.02</v>
      </c>
      <c r="M12" s="47">
        <v>0.02</v>
      </c>
      <c r="N12" s="47">
        <v>0.02</v>
      </c>
      <c r="O12" s="47">
        <v>0.04</v>
      </c>
      <c r="P12" s="98">
        <v>7.0000000000000007E-2</v>
      </c>
      <c r="Q12" s="44"/>
      <c r="S12" s="3" t="s">
        <v>50</v>
      </c>
      <c r="U12" s="3" t="s">
        <v>51</v>
      </c>
    </row>
    <row r="14" spans="1:21">
      <c r="B14" s="2" t="s">
        <v>52</v>
      </c>
    </row>
    <row r="15" spans="1:21">
      <c r="B15" s="16" t="s">
        <v>53</v>
      </c>
      <c r="D15" s="3" t="s">
        <v>54</v>
      </c>
      <c r="H15" s="6"/>
      <c r="I15" s="6"/>
      <c r="J15" s="6"/>
      <c r="K15" s="3">
        <v>1</v>
      </c>
      <c r="L15" s="15">
        <f t="shared" ref="L15:Q15" si="0">K15*(1+L$12)</f>
        <v>1.02</v>
      </c>
      <c r="M15" s="15">
        <f t="shared" si="0"/>
        <v>1.0404</v>
      </c>
      <c r="N15" s="15">
        <f t="shared" si="0"/>
        <v>1.0612079999999999</v>
      </c>
      <c r="O15" s="15">
        <f t="shared" si="0"/>
        <v>1.10365632</v>
      </c>
      <c r="P15" s="15">
        <f t="shared" si="0"/>
        <v>1.1809122624000001</v>
      </c>
      <c r="Q15" s="15">
        <f t="shared" si="0"/>
        <v>1.1809122624000001</v>
      </c>
    </row>
    <row r="16" spans="1:21">
      <c r="B16" s="16" t="s">
        <v>55</v>
      </c>
      <c r="D16" s="3" t="s">
        <v>54</v>
      </c>
      <c r="H16" s="6"/>
      <c r="I16" s="6"/>
      <c r="J16" s="6"/>
      <c r="K16" s="6"/>
      <c r="L16" s="3">
        <v>1</v>
      </c>
      <c r="M16" s="15">
        <f>L16*(1+M$12)</f>
        <v>1.02</v>
      </c>
      <c r="N16" s="15">
        <f>M16*(1+N$12)</f>
        <v>1.0404</v>
      </c>
      <c r="O16" s="15">
        <f>N16*(1+O$12)</f>
        <v>1.0820160000000001</v>
      </c>
      <c r="P16" s="15">
        <f>O16*(1+P$12)</f>
        <v>1.1577571200000001</v>
      </c>
      <c r="Q16" s="15">
        <f>P16*(1+Q$12)</f>
        <v>1.1577571200000001</v>
      </c>
    </row>
    <row r="17" spans="2:19">
      <c r="B17" s="16" t="s">
        <v>56</v>
      </c>
      <c r="D17" s="3" t="s">
        <v>54</v>
      </c>
      <c r="H17" s="6"/>
      <c r="I17" s="6"/>
      <c r="J17" s="6"/>
      <c r="K17" s="6"/>
      <c r="L17" s="6"/>
      <c r="M17" s="3">
        <v>1</v>
      </c>
      <c r="N17" s="15">
        <f>M17*(1+N$12)</f>
        <v>1.02</v>
      </c>
      <c r="O17" s="15">
        <f>N17*(1+O$12)</f>
        <v>1.0608</v>
      </c>
      <c r="P17" s="15">
        <f>O17*(1+P$12)</f>
        <v>1.1350560000000001</v>
      </c>
      <c r="Q17" s="15">
        <f>P17*(1+Q$12)</f>
        <v>1.1350560000000001</v>
      </c>
    </row>
    <row r="18" spans="2:19">
      <c r="B18" s="16" t="s">
        <v>57</v>
      </c>
      <c r="D18" s="3" t="s">
        <v>54</v>
      </c>
      <c r="H18" s="6"/>
      <c r="I18" s="6"/>
      <c r="J18" s="6"/>
      <c r="K18" s="6"/>
      <c r="L18" s="6"/>
      <c r="M18" s="6"/>
      <c r="N18" s="3">
        <v>1</v>
      </c>
      <c r="O18" s="15">
        <f>N18*(1+O$12)</f>
        <v>1.04</v>
      </c>
      <c r="P18" s="15">
        <f>O18*(1+P$12)</f>
        <v>1.1128</v>
      </c>
      <c r="Q18" s="15">
        <f>P18*(1+Q$12)</f>
        <v>1.1128</v>
      </c>
    </row>
    <row r="19" spans="2:19">
      <c r="B19" s="16" t="s">
        <v>58</v>
      </c>
      <c r="D19" s="3" t="s">
        <v>54</v>
      </c>
      <c r="H19" s="6"/>
      <c r="I19" s="6"/>
      <c r="J19" s="6"/>
      <c r="K19" s="6"/>
      <c r="L19" s="6"/>
      <c r="M19" s="6"/>
      <c r="N19" s="6"/>
      <c r="O19" s="3">
        <v>1</v>
      </c>
      <c r="P19" s="15">
        <f>O19*(1+P$12)</f>
        <v>1.07</v>
      </c>
      <c r="Q19" s="15">
        <f>P19*(1+Q$12)</f>
        <v>1.07</v>
      </c>
    </row>
    <row r="20" spans="2:19">
      <c r="B20" s="16" t="s">
        <v>59</v>
      </c>
      <c r="D20" s="3" t="s">
        <v>54</v>
      </c>
      <c r="H20" s="6"/>
      <c r="I20" s="6"/>
      <c r="J20" s="6"/>
      <c r="K20" s="6"/>
      <c r="L20" s="6"/>
      <c r="M20" s="6"/>
      <c r="N20" s="6"/>
      <c r="O20" s="6"/>
      <c r="P20" s="3">
        <v>1</v>
      </c>
      <c r="Q20" s="15">
        <f>P20*(1+Q$12)</f>
        <v>1</v>
      </c>
    </row>
    <row r="21" spans="2:19">
      <c r="B21" s="16" t="s">
        <v>60</v>
      </c>
      <c r="D21" s="3" t="s">
        <v>54</v>
      </c>
      <c r="H21" s="6"/>
      <c r="I21" s="6"/>
      <c r="J21" s="6"/>
      <c r="K21" s="6"/>
      <c r="L21" s="6"/>
      <c r="M21" s="6"/>
      <c r="N21" s="6"/>
      <c r="O21" s="6"/>
      <c r="P21" s="6"/>
      <c r="Q21" s="3">
        <v>1</v>
      </c>
    </row>
    <row r="23" spans="2:19" s="5" customFormat="1">
      <c r="B23" s="5" t="s">
        <v>61</v>
      </c>
    </row>
    <row r="25" spans="2:19">
      <c r="B25" s="3" t="s">
        <v>62</v>
      </c>
      <c r="D25" s="3" t="s">
        <v>63</v>
      </c>
      <c r="F25" s="47">
        <v>0.4</v>
      </c>
      <c r="S25" s="3" t="s">
        <v>64</v>
      </c>
    </row>
    <row r="26" spans="2:19">
      <c r="B26" s="3" t="s">
        <v>65</v>
      </c>
      <c r="D26" s="3" t="s">
        <v>63</v>
      </c>
      <c r="F26" s="17">
        <f>1-F25</f>
        <v>0.6</v>
      </c>
      <c r="S26" s="3" t="s">
        <v>64</v>
      </c>
    </row>
    <row r="28" spans="2:19" s="5" customFormat="1">
      <c r="B28" s="5" t="s">
        <v>66</v>
      </c>
    </row>
    <row r="30" spans="2:19">
      <c r="B30" s="3" t="s">
        <v>67</v>
      </c>
      <c r="D30" s="3" t="s">
        <v>63</v>
      </c>
      <c r="F30" s="47">
        <v>0.75</v>
      </c>
      <c r="S30" s="3" t="s">
        <v>64</v>
      </c>
    </row>
    <row r="31" spans="2:19">
      <c r="B31" s="3" t="s">
        <v>68</v>
      </c>
      <c r="D31" s="3" t="s">
        <v>63</v>
      </c>
      <c r="F31" s="47">
        <v>0.2</v>
      </c>
      <c r="S31" s="3" t="s">
        <v>64</v>
      </c>
    </row>
    <row r="33" spans="2:19" s="5" customFormat="1">
      <c r="B33" s="5" t="s">
        <v>69</v>
      </c>
    </row>
    <row r="35" spans="2:19">
      <c r="B35" s="3" t="s">
        <v>70</v>
      </c>
      <c r="F35" s="40">
        <v>1.25</v>
      </c>
      <c r="S35" s="3" t="s">
        <v>64</v>
      </c>
    </row>
    <row r="36" spans="2:19">
      <c r="B36" s="3" t="s">
        <v>71</v>
      </c>
      <c r="F36" s="40">
        <v>1.5</v>
      </c>
      <c r="S36" s="3" t="s">
        <v>64</v>
      </c>
    </row>
    <row r="37" spans="2:19">
      <c r="B37" s="3" t="s">
        <v>72</v>
      </c>
      <c r="F37" s="40">
        <v>1.75</v>
      </c>
      <c r="S37" s="3" t="s">
        <v>64</v>
      </c>
    </row>
    <row r="38" spans="2:19">
      <c r="B38" s="3" t="s">
        <v>73</v>
      </c>
      <c r="F38" s="40">
        <v>1.75</v>
      </c>
      <c r="S38" s="3" t="s">
        <v>64</v>
      </c>
    </row>
    <row r="40" spans="2:19" s="5" customFormat="1">
      <c r="B40" s="5" t="s">
        <v>74</v>
      </c>
    </row>
    <row r="42" spans="2:19">
      <c r="B42" s="2" t="s">
        <v>75</v>
      </c>
      <c r="F42" s="14"/>
    </row>
    <row r="43" spans="2:19">
      <c r="B43" s="3" t="s">
        <v>76</v>
      </c>
      <c r="F43" s="40">
        <v>1.482</v>
      </c>
      <c r="S43" s="3" t="s">
        <v>64</v>
      </c>
    </row>
    <row r="44" spans="2:19">
      <c r="B44" s="3" t="s">
        <v>77</v>
      </c>
      <c r="F44" s="40">
        <v>0.78400000000000003</v>
      </c>
      <c r="S44" s="3" t="s">
        <v>64</v>
      </c>
    </row>
    <row r="45" spans="2:19">
      <c r="B45" s="3" t="s">
        <v>78</v>
      </c>
      <c r="F45" s="40">
        <v>0.629</v>
      </c>
      <c r="S45" s="3" t="s">
        <v>64</v>
      </c>
    </row>
    <row r="46" spans="2:19">
      <c r="B46" s="3" t="s">
        <v>79</v>
      </c>
      <c r="F46" s="40">
        <v>1.105</v>
      </c>
      <c r="S46" s="3" t="s">
        <v>64</v>
      </c>
    </row>
    <row r="48" spans="2:19">
      <c r="B48" s="2" t="s">
        <v>80</v>
      </c>
    </row>
    <row r="49" spans="2:19">
      <c r="B49" s="3" t="s">
        <v>23</v>
      </c>
      <c r="F49" s="40">
        <v>1.7150000000000001</v>
      </c>
      <c r="S49" s="3" t="s">
        <v>64</v>
      </c>
    </row>
    <row r="50" spans="2:19">
      <c r="B50" s="3" t="s">
        <v>24</v>
      </c>
      <c r="F50" s="40">
        <v>1.5329999999999999</v>
      </c>
      <c r="S50" s="3" t="s">
        <v>64</v>
      </c>
    </row>
    <row r="51" spans="2:19">
      <c r="B51" s="3" t="s">
        <v>25</v>
      </c>
      <c r="F51" s="40">
        <v>1.1990000000000001</v>
      </c>
      <c r="S51" s="3" t="s">
        <v>64</v>
      </c>
    </row>
    <row r="52" spans="2:19">
      <c r="B52" s="3" t="s">
        <v>26</v>
      </c>
      <c r="F52" s="40">
        <v>0.89400000000000002</v>
      </c>
      <c r="S52" s="3" t="s">
        <v>64</v>
      </c>
    </row>
    <row r="53" spans="2:19">
      <c r="B53" s="3" t="s">
        <v>27</v>
      </c>
      <c r="F53" s="40">
        <v>0.79200000000000004</v>
      </c>
      <c r="S53" s="3" t="s">
        <v>64</v>
      </c>
    </row>
    <row r="54" spans="2:19">
      <c r="B54" s="3" t="s">
        <v>28</v>
      </c>
      <c r="F54" s="40">
        <v>0.66500000000000004</v>
      </c>
      <c r="S54" s="3" t="s">
        <v>64</v>
      </c>
    </row>
    <row r="55" spans="2:19">
      <c r="B55" s="3" t="s">
        <v>29</v>
      </c>
      <c r="F55" s="40">
        <v>0.628</v>
      </c>
      <c r="S55" s="3" t="s">
        <v>64</v>
      </c>
    </row>
    <row r="56" spans="2:19">
      <c r="B56" s="3" t="s">
        <v>30</v>
      </c>
      <c r="F56" s="40">
        <v>0.59699999999999998</v>
      </c>
      <c r="S56" s="3" t="s">
        <v>64</v>
      </c>
    </row>
    <row r="57" spans="2:19">
      <c r="B57" s="3" t="s">
        <v>31</v>
      </c>
      <c r="F57" s="40">
        <v>0.66300000000000003</v>
      </c>
      <c r="S57" s="3" t="s">
        <v>64</v>
      </c>
    </row>
    <row r="58" spans="2:19">
      <c r="B58" s="3" t="s">
        <v>32</v>
      </c>
      <c r="F58" s="40">
        <v>0.76100000000000001</v>
      </c>
      <c r="S58" s="3" t="s">
        <v>64</v>
      </c>
    </row>
    <row r="59" spans="2:19">
      <c r="B59" s="3" t="s">
        <v>33</v>
      </c>
      <c r="F59" s="97">
        <v>1.1299999999999999</v>
      </c>
      <c r="S59" s="3" t="s">
        <v>64</v>
      </c>
    </row>
    <row r="60" spans="2:19">
      <c r="B60" s="3" t="s">
        <v>34</v>
      </c>
      <c r="F60" s="40">
        <v>1.4239999999999999</v>
      </c>
      <c r="S60" s="3" t="s">
        <v>64</v>
      </c>
    </row>
    <row r="62" spans="2:19">
      <c r="B62" s="2" t="s">
        <v>81</v>
      </c>
    </row>
    <row r="63" spans="2:19">
      <c r="B63" s="3" t="s">
        <v>23</v>
      </c>
      <c r="F63" s="40">
        <v>1.7729999999999999</v>
      </c>
      <c r="S63" s="3" t="s">
        <v>64</v>
      </c>
    </row>
    <row r="64" spans="2:19">
      <c r="B64" s="3" t="s">
        <v>24</v>
      </c>
      <c r="F64" s="40">
        <v>1.585</v>
      </c>
      <c r="S64" s="3" t="s">
        <v>64</v>
      </c>
    </row>
    <row r="65" spans="2:19">
      <c r="B65" s="3" t="s">
        <v>25</v>
      </c>
      <c r="F65" s="40">
        <v>1.2390000000000001</v>
      </c>
      <c r="S65" s="3" t="s">
        <v>64</v>
      </c>
    </row>
    <row r="66" spans="2:19">
      <c r="B66" s="3" t="s">
        <v>26</v>
      </c>
      <c r="F66" s="40">
        <v>0.92400000000000004</v>
      </c>
      <c r="S66" s="3" t="s">
        <v>64</v>
      </c>
    </row>
    <row r="67" spans="2:19">
      <c r="B67" s="3" t="s">
        <v>27</v>
      </c>
      <c r="F67" s="40">
        <v>0.81899999999999995</v>
      </c>
      <c r="S67" s="3" t="s">
        <v>64</v>
      </c>
    </row>
    <row r="68" spans="2:19">
      <c r="B68" s="3" t="s">
        <v>28</v>
      </c>
      <c r="F68" s="40">
        <v>0.68799999999999994</v>
      </c>
      <c r="S68" s="3" t="s">
        <v>64</v>
      </c>
    </row>
    <row r="69" spans="2:19">
      <c r="B69" s="3" t="s">
        <v>29</v>
      </c>
      <c r="F69" s="40">
        <v>0.64900000000000002</v>
      </c>
      <c r="S69" s="3" t="s">
        <v>64</v>
      </c>
    </row>
    <row r="70" spans="2:19">
      <c r="B70" s="3" t="s">
        <v>30</v>
      </c>
      <c r="F70" s="40">
        <v>0.61799999999999999</v>
      </c>
      <c r="S70" s="3" t="s">
        <v>64</v>
      </c>
    </row>
    <row r="71" spans="2:19">
      <c r="B71" s="3" t="s">
        <v>31</v>
      </c>
      <c r="F71" s="40">
        <v>0.68600000000000005</v>
      </c>
      <c r="S71" s="3" t="s">
        <v>64</v>
      </c>
    </row>
    <row r="72" spans="2:19">
      <c r="B72" s="3" t="s">
        <v>32</v>
      </c>
      <c r="F72" s="40">
        <v>0.78700000000000003</v>
      </c>
      <c r="S72" s="3" t="s">
        <v>64</v>
      </c>
    </row>
    <row r="73" spans="2:19">
      <c r="B73" s="3" t="s">
        <v>33</v>
      </c>
      <c r="F73" s="40">
        <v>1.1679999999999999</v>
      </c>
      <c r="S73" s="3" t="s">
        <v>64</v>
      </c>
    </row>
    <row r="74" spans="2:19">
      <c r="B74" s="3" t="s">
        <v>34</v>
      </c>
      <c r="F74" s="40">
        <v>1.472</v>
      </c>
      <c r="S74" s="3" t="s">
        <v>64</v>
      </c>
    </row>
    <row r="76" spans="2:19" s="5" customFormat="1">
      <c r="B76" s="5" t="s">
        <v>82</v>
      </c>
    </row>
    <row r="78" spans="2:19">
      <c r="B78" s="2" t="s">
        <v>83</v>
      </c>
      <c r="F78" s="14"/>
    </row>
    <row r="79" spans="2:19">
      <c r="B79" s="3" t="s">
        <v>23</v>
      </c>
      <c r="F79" s="40">
        <v>31</v>
      </c>
    </row>
    <row r="80" spans="2:19">
      <c r="B80" s="3" t="s">
        <v>24</v>
      </c>
      <c r="F80" s="40">
        <v>28</v>
      </c>
    </row>
    <row r="81" spans="2:6">
      <c r="B81" s="3" t="s">
        <v>25</v>
      </c>
      <c r="F81" s="40">
        <v>31</v>
      </c>
    </row>
    <row r="82" spans="2:6">
      <c r="B82" s="3" t="s">
        <v>26</v>
      </c>
      <c r="F82" s="40">
        <v>30</v>
      </c>
    </row>
    <row r="83" spans="2:6">
      <c r="B83" s="3" t="s">
        <v>27</v>
      </c>
      <c r="F83" s="40">
        <v>31</v>
      </c>
    </row>
    <row r="84" spans="2:6">
      <c r="B84" s="3" t="s">
        <v>28</v>
      </c>
      <c r="F84" s="40">
        <v>30</v>
      </c>
    </row>
    <row r="85" spans="2:6">
      <c r="B85" s="3" t="s">
        <v>29</v>
      </c>
      <c r="F85" s="40">
        <v>31</v>
      </c>
    </row>
    <row r="86" spans="2:6">
      <c r="B86" s="3" t="s">
        <v>30</v>
      </c>
      <c r="F86" s="40">
        <v>31</v>
      </c>
    </row>
    <row r="87" spans="2:6">
      <c r="B87" s="3" t="s">
        <v>31</v>
      </c>
      <c r="F87" s="40">
        <v>30</v>
      </c>
    </row>
    <row r="88" spans="2:6">
      <c r="B88" s="3" t="s">
        <v>32</v>
      </c>
      <c r="F88" s="40">
        <v>31</v>
      </c>
    </row>
    <row r="89" spans="2:6">
      <c r="B89" s="3" t="s">
        <v>33</v>
      </c>
      <c r="F89" s="40">
        <v>30</v>
      </c>
    </row>
    <row r="90" spans="2:6">
      <c r="B90" s="3" t="s">
        <v>34</v>
      </c>
      <c r="F90" s="40">
        <v>31</v>
      </c>
    </row>
    <row r="92" spans="2:6">
      <c r="B92" s="2" t="s">
        <v>84</v>
      </c>
    </row>
    <row r="93" spans="2:6">
      <c r="B93" s="3" t="s">
        <v>76</v>
      </c>
      <c r="F93" s="18">
        <f>SUM(F79:F81)</f>
        <v>90</v>
      </c>
    </row>
    <row r="94" spans="2:6">
      <c r="B94" s="3" t="s">
        <v>77</v>
      </c>
      <c r="F94" s="18">
        <f>SUM(F82:F84)</f>
        <v>91</v>
      </c>
    </row>
    <row r="95" spans="2:6">
      <c r="B95" s="3" t="s">
        <v>78</v>
      </c>
      <c r="F95" s="18">
        <f>SUM(F85:F87)</f>
        <v>92</v>
      </c>
    </row>
    <row r="96" spans="2:6">
      <c r="B96" s="3" t="s">
        <v>79</v>
      </c>
      <c r="F96" s="18">
        <f>SUM(F88:F90)</f>
        <v>92</v>
      </c>
    </row>
    <row r="98" spans="2:21">
      <c r="B98" s="2" t="s">
        <v>85</v>
      </c>
    </row>
    <row r="99" spans="2:21">
      <c r="B99" s="3" t="s">
        <v>86</v>
      </c>
      <c r="F99" s="40">
        <v>24</v>
      </c>
    </row>
    <row r="100" spans="2:21">
      <c r="B100" s="3" t="s">
        <v>87</v>
      </c>
      <c r="F100" s="18">
        <f>SUM(F79:F90)</f>
        <v>365</v>
      </c>
    </row>
    <row r="101" spans="2:21">
      <c r="B101" s="3" t="s">
        <v>88</v>
      </c>
      <c r="F101" s="18">
        <f>F99*F100</f>
        <v>8760</v>
      </c>
    </row>
    <row r="103" spans="2:21" s="5" customFormat="1">
      <c r="B103" s="5" t="s">
        <v>89</v>
      </c>
    </row>
    <row r="105" spans="2:21">
      <c r="B105" s="2" t="s">
        <v>90</v>
      </c>
    </row>
    <row r="106" spans="2:21">
      <c r="B106" s="3" t="s">
        <v>91</v>
      </c>
      <c r="F106" s="108">
        <v>0.33189999999999997</v>
      </c>
      <c r="S106" s="3" t="s">
        <v>64</v>
      </c>
    </row>
    <row r="107" spans="2:21">
      <c r="B107" s="3" t="s">
        <v>92</v>
      </c>
      <c r="F107" s="108">
        <v>0.2586</v>
      </c>
      <c r="S107" s="3" t="s">
        <v>64</v>
      </c>
    </row>
    <row r="108" spans="2:21">
      <c r="B108" s="3" t="s">
        <v>93</v>
      </c>
      <c r="F108" s="108">
        <v>0.97860000000000003</v>
      </c>
      <c r="S108" s="3" t="s">
        <v>64</v>
      </c>
    </row>
    <row r="109" spans="2:21">
      <c r="B109" s="3" t="s">
        <v>94</v>
      </c>
      <c r="F109" s="111">
        <v>1E-4</v>
      </c>
      <c r="S109" s="3" t="s">
        <v>64</v>
      </c>
      <c r="U109" s="3" t="s">
        <v>95</v>
      </c>
    </row>
    <row r="110" spans="2:21">
      <c r="B110" s="3" t="s">
        <v>96</v>
      </c>
      <c r="F110" s="111">
        <v>1E-4</v>
      </c>
      <c r="S110" s="3" t="s">
        <v>64</v>
      </c>
      <c r="U110" s="3" t="s">
        <v>97</v>
      </c>
    </row>
    <row r="111" spans="2:21">
      <c r="B111" s="3" t="s">
        <v>98</v>
      </c>
      <c r="F111" s="108">
        <v>1E-4</v>
      </c>
      <c r="S111" s="3" t="s">
        <v>64</v>
      </c>
    </row>
    <row r="112" spans="2:21">
      <c r="B112" s="3" t="s">
        <v>99</v>
      </c>
      <c r="F112" s="108">
        <v>1E-4</v>
      </c>
      <c r="S112" s="3" t="s">
        <v>64</v>
      </c>
    </row>
    <row r="113" spans="2:21">
      <c r="B113" s="3" t="s">
        <v>100</v>
      </c>
      <c r="F113" s="111">
        <v>1E-4</v>
      </c>
      <c r="S113" s="3" t="s">
        <v>64</v>
      </c>
      <c r="U113" s="3" t="s">
        <v>97</v>
      </c>
    </row>
    <row r="114" spans="2:21">
      <c r="B114" s="3" t="s">
        <v>101</v>
      </c>
      <c r="F114" s="108">
        <v>0.51200000000000001</v>
      </c>
      <c r="S114" s="3" t="s">
        <v>64</v>
      </c>
    </row>
    <row r="115" spans="2:21">
      <c r="B115" s="3" t="s">
        <v>102</v>
      </c>
      <c r="F115" s="108">
        <v>0.64590000000000003</v>
      </c>
      <c r="S115" s="3" t="s">
        <v>64</v>
      </c>
    </row>
    <row r="116" spans="2:21">
      <c r="B116" s="3" t="s">
        <v>103</v>
      </c>
      <c r="F116" s="108">
        <v>0.625</v>
      </c>
      <c r="S116" s="3" t="s">
        <v>64</v>
      </c>
    </row>
    <row r="117" spans="2:21">
      <c r="B117" s="3" t="s">
        <v>104</v>
      </c>
      <c r="F117" s="111">
        <v>1E-4</v>
      </c>
      <c r="S117" s="3" t="s">
        <v>64</v>
      </c>
      <c r="U117" s="3" t="s">
        <v>97</v>
      </c>
    </row>
    <row r="118" spans="2:21">
      <c r="B118" s="3" t="s">
        <v>105</v>
      </c>
      <c r="F118" s="108">
        <v>0.31780000000000003</v>
      </c>
      <c r="S118" s="3" t="s">
        <v>64</v>
      </c>
    </row>
    <row r="119" spans="2:21">
      <c r="B119" s="3" t="s">
        <v>106</v>
      </c>
      <c r="F119" s="108">
        <v>4.6800000000000001E-2</v>
      </c>
      <c r="S119" s="3" t="s">
        <v>64</v>
      </c>
    </row>
    <row r="120" spans="2:21">
      <c r="B120" s="3" t="s">
        <v>6</v>
      </c>
      <c r="F120" s="108">
        <v>1E-4</v>
      </c>
      <c r="S120" s="3" t="s">
        <v>64</v>
      </c>
    </row>
    <row r="122" spans="2:21">
      <c r="B122" s="2" t="s">
        <v>107</v>
      </c>
    </row>
    <row r="123" spans="2:21">
      <c r="B123" s="3" t="s">
        <v>91</v>
      </c>
      <c r="F123" s="111">
        <v>1E-4</v>
      </c>
      <c r="S123" s="3" t="s">
        <v>64</v>
      </c>
      <c r="U123" s="3" t="s">
        <v>97</v>
      </c>
    </row>
    <row r="124" spans="2:21">
      <c r="B124" s="3" t="s">
        <v>92</v>
      </c>
      <c r="F124" s="108">
        <v>1E-4</v>
      </c>
      <c r="S124" s="3" t="s">
        <v>64</v>
      </c>
    </row>
    <row r="125" spans="2:21">
      <c r="B125" s="3" t="s">
        <v>93</v>
      </c>
      <c r="F125" s="111">
        <v>1E-4</v>
      </c>
      <c r="S125" s="3" t="s">
        <v>64</v>
      </c>
      <c r="U125" s="3" t="s">
        <v>97</v>
      </c>
    </row>
    <row r="126" spans="2:21">
      <c r="B126" s="3" t="s">
        <v>94</v>
      </c>
      <c r="F126" s="108">
        <v>0.71899999999999997</v>
      </c>
      <c r="S126" s="3" t="s">
        <v>64</v>
      </c>
    </row>
    <row r="127" spans="2:21">
      <c r="B127" s="3" t="s">
        <v>96</v>
      </c>
      <c r="F127" s="108">
        <v>0.49359999999999998</v>
      </c>
      <c r="S127" s="3" t="s">
        <v>64</v>
      </c>
    </row>
    <row r="128" spans="2:21">
      <c r="B128" s="3" t="s">
        <v>98</v>
      </c>
      <c r="F128" s="108">
        <v>0.33329999999999999</v>
      </c>
      <c r="S128" s="3" t="s">
        <v>64</v>
      </c>
    </row>
    <row r="129" spans="2:21">
      <c r="B129" s="3" t="s">
        <v>99</v>
      </c>
      <c r="F129" s="108">
        <v>0.95730000000000004</v>
      </c>
      <c r="S129" s="3" t="s">
        <v>64</v>
      </c>
    </row>
    <row r="130" spans="2:21">
      <c r="B130" s="3" t="s">
        <v>100</v>
      </c>
      <c r="F130" s="108">
        <v>0.1525</v>
      </c>
      <c r="S130" s="3" t="s">
        <v>64</v>
      </c>
    </row>
    <row r="131" spans="2:21">
      <c r="B131" s="3" t="s">
        <v>101</v>
      </c>
      <c r="F131" s="108">
        <v>0.13930000000000001</v>
      </c>
      <c r="S131" s="3" t="s">
        <v>64</v>
      </c>
    </row>
    <row r="132" spans="2:21">
      <c r="B132" s="3" t="s">
        <v>102</v>
      </c>
      <c r="F132" s="111">
        <v>1E-4</v>
      </c>
      <c r="S132" s="3" t="s">
        <v>64</v>
      </c>
      <c r="U132" s="3" t="s">
        <v>97</v>
      </c>
    </row>
    <row r="133" spans="2:21">
      <c r="B133" s="3" t="s">
        <v>103</v>
      </c>
      <c r="F133" s="108">
        <v>0.62209999999999999</v>
      </c>
      <c r="S133" s="3" t="s">
        <v>64</v>
      </c>
    </row>
    <row r="134" spans="2:21">
      <c r="B134" s="3" t="s">
        <v>104</v>
      </c>
      <c r="F134" s="108">
        <v>1.47E-2</v>
      </c>
      <c r="S134" s="3" t="s">
        <v>64</v>
      </c>
    </row>
    <row r="135" spans="2:21">
      <c r="B135" s="3" t="s">
        <v>105</v>
      </c>
      <c r="F135" s="111">
        <v>1E-4</v>
      </c>
      <c r="S135" s="3" t="s">
        <v>64</v>
      </c>
      <c r="U135" s="3" t="s">
        <v>97</v>
      </c>
    </row>
    <row r="136" spans="2:21">
      <c r="B136" s="3" t="s">
        <v>106</v>
      </c>
      <c r="F136" s="108">
        <v>0.34539999999999998</v>
      </c>
      <c r="S136" s="3" t="s">
        <v>64</v>
      </c>
    </row>
    <row r="137" spans="2:21">
      <c r="B137" s="3" t="s">
        <v>6</v>
      </c>
      <c r="F137" s="108">
        <v>1E-4</v>
      </c>
      <c r="S137" s="3" t="s">
        <v>64</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29"/>
  <sheetViews>
    <sheetView showGridLines="0" zoomScale="80" zoomScaleNormal="80" workbookViewId="0">
      <pane xSplit="4" ySplit="7" topLeftCell="F8" activePane="bottomRight" state="frozen"/>
      <selection pane="topRight" activeCell="N56" sqref="N56"/>
      <selection pane="bottomLeft" activeCell="N56" sqref="N56"/>
      <selection pane="bottomRight"/>
    </sheetView>
  </sheetViews>
  <sheetFormatPr defaultColWidth="9.33203125" defaultRowHeight="13.2"/>
  <cols>
    <col min="1" max="1" width="2.6640625" style="3" customWidth="1"/>
    <col min="2" max="2" width="70.5546875" style="3" customWidth="1"/>
    <col min="3" max="3" width="4.5546875" style="3" customWidth="1"/>
    <col min="4" max="4" width="14" style="3" customWidth="1"/>
    <col min="5" max="5" width="2.6640625" style="3" customWidth="1"/>
    <col min="6" max="6" width="16.5546875" style="3" customWidth="1"/>
    <col min="7" max="7" width="2.6640625" style="3" customWidth="1"/>
    <col min="8" max="8" width="17.44140625" style="3" customWidth="1"/>
    <col min="9" max="9" width="14" style="3" customWidth="1"/>
    <col min="10" max="12" width="11.6640625" style="3" customWidth="1"/>
    <col min="13" max="13" width="2.6640625" style="3" customWidth="1"/>
    <col min="14" max="14" width="18.6640625" style="3" customWidth="1"/>
    <col min="15" max="15" width="2.6640625" style="3" customWidth="1"/>
    <col min="16" max="26" width="13.6640625" style="3" customWidth="1"/>
    <col min="27" max="16384" width="9.33203125" style="3"/>
  </cols>
  <sheetData>
    <row r="2" spans="2:16" s="7" customFormat="1" ht="17.399999999999999">
      <c r="B2" s="7" t="s">
        <v>108</v>
      </c>
    </row>
    <row r="4" spans="2:16">
      <c r="B4" s="10" t="s">
        <v>42</v>
      </c>
      <c r="C4" s="2"/>
    </row>
    <row r="5" spans="2:16" ht="27.75" customHeight="1">
      <c r="B5" s="114" t="s">
        <v>109</v>
      </c>
      <c r="C5" s="114"/>
      <c r="D5" s="114"/>
      <c r="F5" s="8"/>
    </row>
    <row r="6" spans="2:16" ht="12" customHeight="1"/>
    <row r="7" spans="2:16" s="5" customFormat="1" ht="12" customHeight="1">
      <c r="B7" s="5" t="s">
        <v>7</v>
      </c>
      <c r="D7" s="5" t="s">
        <v>44</v>
      </c>
      <c r="F7" s="5" t="s">
        <v>45</v>
      </c>
      <c r="H7" s="27">
        <v>2022</v>
      </c>
      <c r="I7" s="27">
        <v>2023</v>
      </c>
      <c r="J7" s="27">
        <v>2024</v>
      </c>
      <c r="K7" s="27">
        <v>2025</v>
      </c>
      <c r="L7" s="27">
        <v>2026</v>
      </c>
      <c r="N7" s="5" t="s">
        <v>46</v>
      </c>
      <c r="P7" s="5" t="s">
        <v>47</v>
      </c>
    </row>
    <row r="9" spans="2:16" s="5" customFormat="1">
      <c r="B9" s="5" t="s">
        <v>110</v>
      </c>
    </row>
    <row r="11" spans="2:16">
      <c r="B11" s="16" t="s">
        <v>111</v>
      </c>
      <c r="D11" s="3" t="s">
        <v>112</v>
      </c>
      <c r="H11" s="43"/>
      <c r="I11" s="49">
        <v>-2575390</v>
      </c>
      <c r="J11" s="6"/>
      <c r="K11" s="6"/>
      <c r="L11" s="6"/>
      <c r="N11" s="3" t="s">
        <v>113</v>
      </c>
    </row>
    <row r="12" spans="2:16">
      <c r="B12" s="3" t="s">
        <v>114</v>
      </c>
      <c r="D12" s="3" t="s">
        <v>112</v>
      </c>
      <c r="H12" s="43"/>
      <c r="I12" s="99">
        <v>-2652186</v>
      </c>
      <c r="J12" s="6"/>
      <c r="K12" s="6"/>
      <c r="L12" s="6"/>
      <c r="N12" s="3" t="s">
        <v>115</v>
      </c>
    </row>
    <row r="14" spans="2:16" s="5" customFormat="1">
      <c r="B14" s="5" t="s">
        <v>116</v>
      </c>
    </row>
    <row r="16" spans="2:16">
      <c r="B16" s="3" t="s">
        <v>117</v>
      </c>
      <c r="D16" s="3" t="s">
        <v>112</v>
      </c>
      <c r="H16" s="96"/>
      <c r="I16" s="100">
        <v>0</v>
      </c>
      <c r="J16" s="6"/>
      <c r="K16" s="6"/>
      <c r="L16" s="6"/>
      <c r="N16" s="3" t="s">
        <v>115</v>
      </c>
    </row>
    <row r="17" spans="2:16">
      <c r="H17" s="39"/>
      <c r="I17" s="39"/>
      <c r="J17" s="39"/>
      <c r="K17" s="39"/>
      <c r="L17" s="39"/>
    </row>
    <row r="18" spans="2:16" s="5" customFormat="1">
      <c r="B18" s="5" t="s">
        <v>118</v>
      </c>
    </row>
    <row r="20" spans="2:16">
      <c r="B20" s="3" t="s">
        <v>117</v>
      </c>
      <c r="D20" s="3" t="s">
        <v>112</v>
      </c>
      <c r="H20" s="96"/>
      <c r="I20" s="100">
        <v>0</v>
      </c>
      <c r="J20" s="6"/>
      <c r="K20" s="6"/>
      <c r="L20" s="6"/>
      <c r="N20" s="3" t="s">
        <v>115</v>
      </c>
    </row>
    <row r="21" spans="2:16">
      <c r="H21" s="39"/>
      <c r="I21" s="39"/>
      <c r="J21" s="39"/>
      <c r="K21" s="39"/>
      <c r="L21" s="39"/>
    </row>
    <row r="22" spans="2:16" s="5" customFormat="1">
      <c r="B22" s="5" t="s">
        <v>119</v>
      </c>
    </row>
    <row r="24" spans="2:16">
      <c r="B24" s="3" t="s">
        <v>120</v>
      </c>
      <c r="D24" s="3" t="s">
        <v>112</v>
      </c>
      <c r="H24" s="96"/>
      <c r="I24" s="100">
        <v>1980714</v>
      </c>
      <c r="J24" s="6"/>
      <c r="K24" s="6"/>
      <c r="L24" s="6"/>
      <c r="N24" s="3" t="s">
        <v>115</v>
      </c>
    </row>
    <row r="25" spans="2:16">
      <c r="H25" s="39"/>
      <c r="I25" s="39"/>
      <c r="J25" s="39"/>
      <c r="K25" s="39"/>
      <c r="L25" s="39"/>
      <c r="N25" s="39"/>
    </row>
    <row r="26" spans="2:16" s="5" customFormat="1">
      <c r="B26" s="5" t="s">
        <v>121</v>
      </c>
    </row>
    <row r="28" spans="2:16">
      <c r="B28" s="3" t="s">
        <v>117</v>
      </c>
      <c r="D28" s="3" t="s">
        <v>112</v>
      </c>
      <c r="H28" s="96"/>
      <c r="I28" s="100">
        <v>17174.63</v>
      </c>
      <c r="J28" s="6"/>
      <c r="K28" s="6"/>
      <c r="L28" s="6"/>
      <c r="N28" s="3" t="s">
        <v>115</v>
      </c>
      <c r="P28" s="3" t="s">
        <v>122</v>
      </c>
    </row>
    <row r="29" spans="2:16">
      <c r="I29" s="8"/>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0" zoomScaleNormal="80" workbookViewId="0">
      <pane xSplit="2" ySplit="5" topLeftCell="C6" activePane="bottomRight" state="frozen"/>
      <selection pane="topRight"/>
      <selection pane="bottomLeft"/>
      <selection pane="bottomRight"/>
    </sheetView>
  </sheetViews>
  <sheetFormatPr defaultColWidth="9.33203125" defaultRowHeight="13.2"/>
  <cols>
    <col min="1" max="1" width="2.6640625" style="3" customWidth="1"/>
    <col min="2" max="2" width="62" style="3" customWidth="1"/>
    <col min="3" max="3" width="2.6640625" style="3" customWidth="1"/>
    <col min="4" max="4" width="13.6640625" style="3" customWidth="1"/>
    <col min="5" max="5" width="2.6640625" style="3" customWidth="1"/>
    <col min="6" max="6" width="13.6640625" style="3" customWidth="1"/>
    <col min="7" max="7" width="2.6640625" style="3" customWidth="1"/>
    <col min="8" max="14" width="12.5546875" style="3" customWidth="1"/>
    <col min="15" max="15" width="2.6640625" style="3" customWidth="1"/>
    <col min="16" max="16" width="20.6640625" style="3" customWidth="1"/>
    <col min="17" max="17" width="2.6640625" style="3" customWidth="1"/>
    <col min="18" max="18" width="20.6640625" style="3" customWidth="1"/>
    <col min="19" max="31" width="13.6640625" style="3" customWidth="1"/>
    <col min="32" max="16384" width="9.33203125" style="3"/>
  </cols>
  <sheetData>
    <row r="2" spans="2:18" s="7" customFormat="1" ht="17.399999999999999">
      <c r="B2" s="7" t="s">
        <v>123</v>
      </c>
    </row>
    <row r="4" spans="2:18">
      <c r="B4" s="10" t="s">
        <v>42</v>
      </c>
      <c r="C4" s="2"/>
    </row>
    <row r="5" spans="2:18" ht="27.75" customHeight="1">
      <c r="B5" s="114" t="s">
        <v>124</v>
      </c>
      <c r="C5" s="115"/>
      <c r="D5" s="115"/>
      <c r="F5" s="8"/>
    </row>
    <row r="7" spans="2:18" s="5" customFormat="1">
      <c r="B7" s="5" t="s">
        <v>7</v>
      </c>
      <c r="D7" s="5" t="s">
        <v>44</v>
      </c>
      <c r="F7" s="5" t="s">
        <v>45</v>
      </c>
      <c r="H7" s="29">
        <v>2020</v>
      </c>
      <c r="I7" s="27">
        <v>2021</v>
      </c>
      <c r="J7" s="27">
        <v>2022</v>
      </c>
      <c r="K7" s="27">
        <v>2023</v>
      </c>
      <c r="L7" s="27">
        <v>2024</v>
      </c>
      <c r="M7" s="27">
        <v>2025</v>
      </c>
      <c r="N7" s="27">
        <v>2026</v>
      </c>
      <c r="P7" s="5" t="s">
        <v>46</v>
      </c>
      <c r="R7" s="5" t="s">
        <v>47</v>
      </c>
    </row>
    <row r="9" spans="2:18" s="5" customFormat="1">
      <c r="B9" s="5" t="s">
        <v>125</v>
      </c>
    </row>
    <row r="11" spans="2:18">
      <c r="B11" s="10" t="s">
        <v>125</v>
      </c>
    </row>
    <row r="12" spans="2:18">
      <c r="B12" s="3" t="s">
        <v>126</v>
      </c>
      <c r="D12" s="3" t="s">
        <v>127</v>
      </c>
      <c r="H12" s="6"/>
      <c r="I12" s="6"/>
      <c r="J12" s="6"/>
      <c r="K12" s="6"/>
      <c r="L12" s="6"/>
      <c r="M12" s="100">
        <v>138087814</v>
      </c>
      <c r="N12" s="6"/>
      <c r="P12" s="46" t="s">
        <v>128</v>
      </c>
    </row>
    <row r="13" spans="2:18">
      <c r="B13" s="3" t="s">
        <v>129</v>
      </c>
      <c r="D13" s="3" t="s">
        <v>127</v>
      </c>
      <c r="H13" s="6"/>
      <c r="I13" s="6"/>
      <c r="J13" s="6"/>
      <c r="K13" s="6"/>
      <c r="L13" s="6"/>
      <c r="M13" s="100">
        <v>236912186</v>
      </c>
      <c r="N13" s="6"/>
      <c r="P13" s="46" t="s">
        <v>128</v>
      </c>
    </row>
    <row r="14" spans="2:18">
      <c r="J14" s="8"/>
      <c r="K14" s="8"/>
      <c r="L14" s="8"/>
    </row>
    <row r="15" spans="2:18">
      <c r="B15" s="3" t="s">
        <v>130</v>
      </c>
      <c r="D15" s="3" t="s">
        <v>127</v>
      </c>
      <c r="H15" s="6"/>
      <c r="I15" s="6"/>
      <c r="J15" s="6"/>
      <c r="K15" s="6"/>
      <c r="L15" s="6"/>
      <c r="M15" s="100">
        <v>47529361</v>
      </c>
      <c r="N15" s="6"/>
      <c r="P15" s="46" t="s">
        <v>128</v>
      </c>
    </row>
    <row r="16" spans="2:18">
      <c r="B16" s="3" t="s">
        <v>131</v>
      </c>
      <c r="D16" s="3" t="s">
        <v>127</v>
      </c>
      <c r="H16" s="6"/>
      <c r="I16" s="6"/>
      <c r="J16" s="6"/>
      <c r="K16" s="6"/>
      <c r="L16" s="6"/>
      <c r="M16" s="100">
        <v>28422166</v>
      </c>
      <c r="N16" s="6"/>
      <c r="P16" s="46" t="s">
        <v>128</v>
      </c>
    </row>
    <row r="17" spans="2:16">
      <c r="J17" s="8"/>
    </row>
    <row r="18" spans="2:16">
      <c r="B18" s="3" t="s">
        <v>132</v>
      </c>
      <c r="D18" s="3" t="s">
        <v>127</v>
      </c>
      <c r="H18" s="6"/>
      <c r="I18" s="6"/>
      <c r="J18" s="6"/>
      <c r="K18" s="6"/>
      <c r="L18" s="6"/>
      <c r="M18" s="100">
        <v>31903239</v>
      </c>
      <c r="N18" s="6"/>
      <c r="P18" s="46" t="s">
        <v>128</v>
      </c>
    </row>
    <row r="24" spans="2:16">
      <c r="M24" s="50"/>
    </row>
    <row r="25" spans="2:16">
      <c r="M25" s="50"/>
    </row>
    <row r="26" spans="2:16">
      <c r="M26" s="50"/>
    </row>
    <row r="27" spans="2:16">
      <c r="M27" s="50"/>
    </row>
    <row r="28" spans="2:16">
      <c r="M28" s="50"/>
    </row>
    <row r="29" spans="2:16">
      <c r="M29" s="50"/>
    </row>
    <row r="30" spans="2:16">
      <c r="M30" s="50"/>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33203125" defaultRowHeight="13.2"/>
  <cols>
    <col min="1" max="16384" width="9.332031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N40"/>
  <sheetViews>
    <sheetView showGridLines="0" zoomScale="80" zoomScaleNormal="80" workbookViewId="0">
      <pane xSplit="3" ySplit="8" topLeftCell="D9" activePane="bottomRight" state="frozen"/>
      <selection pane="topRight" activeCell="D1" sqref="D1"/>
      <selection pane="bottomLeft" activeCell="A12" sqref="A12"/>
      <selection pane="bottomRight"/>
    </sheetView>
  </sheetViews>
  <sheetFormatPr defaultColWidth="9.33203125" defaultRowHeight="13.2"/>
  <cols>
    <col min="1" max="1" width="2.6640625" style="3" customWidth="1"/>
    <col min="2" max="2" width="71" style="3" customWidth="1"/>
    <col min="3" max="3" width="2.6640625" style="3" customWidth="1"/>
    <col min="4" max="4" width="13.44140625" style="3" customWidth="1"/>
    <col min="5" max="5" width="2.6640625" style="3" customWidth="1"/>
    <col min="6" max="6" width="11.5546875" style="3" customWidth="1"/>
    <col min="7" max="7" width="2.6640625" style="3" customWidth="1"/>
    <col min="8" max="12" width="15.6640625" style="3" customWidth="1"/>
    <col min="13" max="13" width="2.6640625" style="3" customWidth="1"/>
    <col min="14" max="25" width="13.6640625" style="3" customWidth="1"/>
    <col min="26" max="16384" width="9.33203125" style="3"/>
  </cols>
  <sheetData>
    <row r="2" spans="2:14" s="7" customFormat="1" ht="17.399999999999999">
      <c r="B2" s="7" t="s">
        <v>133</v>
      </c>
    </row>
    <row r="4" spans="2:14">
      <c r="B4" s="10" t="s">
        <v>134</v>
      </c>
      <c r="C4" s="2"/>
    </row>
    <row r="5" spans="2:14">
      <c r="B5" s="114" t="s">
        <v>135</v>
      </c>
      <c r="C5" s="115"/>
      <c r="D5" s="115"/>
      <c r="F5" s="8"/>
    </row>
    <row r="6" spans="2:14" ht="14.25" customHeight="1">
      <c r="F6" s="52"/>
    </row>
    <row r="7" spans="2:14" s="5" customFormat="1">
      <c r="B7" s="5" t="s">
        <v>7</v>
      </c>
      <c r="D7" s="5" t="s">
        <v>44</v>
      </c>
      <c r="F7" s="5" t="s">
        <v>45</v>
      </c>
      <c r="H7" s="27">
        <v>2022</v>
      </c>
      <c r="I7" s="27">
        <v>2023</v>
      </c>
      <c r="J7" s="27">
        <v>2024</v>
      </c>
      <c r="K7" s="27">
        <v>2025</v>
      </c>
      <c r="L7" s="27">
        <v>2026</v>
      </c>
      <c r="N7" s="5" t="s">
        <v>47</v>
      </c>
    </row>
    <row r="9" spans="2:14" s="5" customFormat="1">
      <c r="B9" s="5" t="s">
        <v>136</v>
      </c>
    </row>
    <row r="11" spans="2:14">
      <c r="B11" s="10" t="s">
        <v>48</v>
      </c>
    </row>
    <row r="12" spans="2:14">
      <c r="B12" s="16" t="s">
        <v>57</v>
      </c>
      <c r="D12" s="3" t="s">
        <v>137</v>
      </c>
      <c r="H12" s="6"/>
      <c r="I12" s="19">
        <f>'2. Parameters'!N18</f>
        <v>1</v>
      </c>
      <c r="J12" s="19">
        <f>'2. Parameters'!O18</f>
        <v>1.04</v>
      </c>
      <c r="K12" s="19">
        <f>'2. Parameters'!P18</f>
        <v>1.1128</v>
      </c>
      <c r="L12" s="19">
        <f>'2. Parameters'!Q18</f>
        <v>1.1128</v>
      </c>
    </row>
    <row r="14" spans="2:14" s="5" customFormat="1">
      <c r="B14" s="5" t="s">
        <v>110</v>
      </c>
    </row>
    <row r="16" spans="2:14">
      <c r="B16" s="16" t="s">
        <v>111</v>
      </c>
      <c r="D16" s="3" t="s">
        <v>112</v>
      </c>
      <c r="H16" s="41"/>
      <c r="I16" s="24">
        <f>'3. Input nacalculaties'!I11</f>
        <v>-2575390</v>
      </c>
      <c r="J16" s="6"/>
      <c r="K16" s="6"/>
      <c r="L16" s="6"/>
    </row>
    <row r="17" spans="2:12">
      <c r="B17" t="s">
        <v>114</v>
      </c>
      <c r="D17" s="3" t="s">
        <v>112</v>
      </c>
      <c r="H17" s="91"/>
      <c r="I17" s="24">
        <f>'3. Input nacalculaties'!I12</f>
        <v>-2652186</v>
      </c>
      <c r="J17" s="6"/>
      <c r="K17" s="6"/>
      <c r="L17" s="6"/>
    </row>
    <row r="18" spans="2:12">
      <c r="B18" s="3" t="s">
        <v>138</v>
      </c>
      <c r="D18" s="3" t="s">
        <v>112</v>
      </c>
      <c r="H18" s="41"/>
      <c r="I18" s="25">
        <f>I16-I17</f>
        <v>76796</v>
      </c>
      <c r="J18" s="6"/>
      <c r="K18" s="6"/>
      <c r="L18" s="6"/>
    </row>
    <row r="19" spans="2:12">
      <c r="B19" s="3" t="s">
        <v>139</v>
      </c>
      <c r="D19" s="3" t="s">
        <v>112</v>
      </c>
      <c r="H19" s="41"/>
      <c r="I19" s="24">
        <f>I18</f>
        <v>76796</v>
      </c>
      <c r="J19" s="6"/>
      <c r="K19" s="6"/>
      <c r="L19" s="6"/>
    </row>
    <row r="20" spans="2:12">
      <c r="B20" s="3" t="s">
        <v>140</v>
      </c>
      <c r="D20" s="3" t="s">
        <v>112</v>
      </c>
      <c r="H20" s="6"/>
      <c r="I20" s="6"/>
      <c r="J20" s="41"/>
      <c r="K20" s="28">
        <f>I19*K$12</f>
        <v>85458.588799999998</v>
      </c>
      <c r="L20" s="6"/>
    </row>
    <row r="22" spans="2:12" s="5" customFormat="1">
      <c r="B22" s="5" t="s">
        <v>116</v>
      </c>
    </row>
    <row r="24" spans="2:12">
      <c r="B24" s="3" t="s">
        <v>117</v>
      </c>
      <c r="D24" s="3" t="s">
        <v>112</v>
      </c>
      <c r="H24" s="43"/>
      <c r="I24" s="101">
        <f>'3. Input nacalculaties'!I16</f>
        <v>0</v>
      </c>
      <c r="J24" s="6"/>
      <c r="K24" s="6"/>
      <c r="L24" s="6"/>
    </row>
    <row r="25" spans="2:12">
      <c r="B25" s="3" t="s">
        <v>140</v>
      </c>
      <c r="D25" s="3" t="s">
        <v>112</v>
      </c>
      <c r="H25" s="6"/>
      <c r="I25" s="6"/>
      <c r="J25" s="41"/>
      <c r="K25" s="102">
        <f>I24*K$12</f>
        <v>0</v>
      </c>
      <c r="L25" s="6"/>
    </row>
    <row r="27" spans="2:12" s="5" customFormat="1">
      <c r="B27" s="5" t="s">
        <v>118</v>
      </c>
    </row>
    <row r="29" spans="2:12">
      <c r="B29" s="3" t="s">
        <v>117</v>
      </c>
      <c r="D29" s="3" t="s">
        <v>112</v>
      </c>
      <c r="H29" s="92"/>
      <c r="I29" s="101">
        <f>'3. Input nacalculaties'!I20</f>
        <v>0</v>
      </c>
      <c r="J29" s="6"/>
      <c r="K29" s="6"/>
      <c r="L29" s="6"/>
    </row>
    <row r="30" spans="2:12">
      <c r="B30" s="3" t="s">
        <v>140</v>
      </c>
      <c r="D30" s="3" t="s">
        <v>112</v>
      </c>
      <c r="H30" s="6"/>
      <c r="I30" s="6"/>
      <c r="J30" s="41"/>
      <c r="K30" s="102">
        <f>I29*K$12</f>
        <v>0</v>
      </c>
      <c r="L30" s="6"/>
    </row>
    <row r="32" spans="2:12" s="5" customFormat="1">
      <c r="B32" s="5" t="s">
        <v>119</v>
      </c>
    </row>
    <row r="34" spans="2:12">
      <c r="B34" s="3" t="s">
        <v>120</v>
      </c>
      <c r="D34" s="3" t="s">
        <v>112</v>
      </c>
      <c r="H34" s="43"/>
      <c r="I34" s="24">
        <f>'3. Input nacalculaties'!I24</f>
        <v>1980714</v>
      </c>
      <c r="J34" s="6"/>
      <c r="K34" s="6"/>
      <c r="L34" s="6"/>
    </row>
    <row r="35" spans="2:12">
      <c r="B35" s="3" t="s">
        <v>140</v>
      </c>
      <c r="D35" s="3" t="s">
        <v>112</v>
      </c>
      <c r="H35" s="6"/>
      <c r="I35" s="6"/>
      <c r="J35" s="41"/>
      <c r="K35" s="28">
        <f>-I34*K$12</f>
        <v>-2204138.5392</v>
      </c>
      <c r="L35" s="6"/>
    </row>
    <row r="37" spans="2:12" s="5" customFormat="1">
      <c r="B37" s="5" t="s">
        <v>121</v>
      </c>
    </row>
    <row r="39" spans="2:12">
      <c r="B39" s="3" t="s">
        <v>117</v>
      </c>
      <c r="D39" s="3" t="s">
        <v>112</v>
      </c>
      <c r="H39" s="43"/>
      <c r="I39" s="101">
        <f>'3. Input nacalculaties'!I28</f>
        <v>17174.63</v>
      </c>
      <c r="J39" s="6"/>
      <c r="K39" s="6"/>
      <c r="L39" s="6"/>
    </row>
    <row r="40" spans="2:12">
      <c r="B40" s="3" t="s">
        <v>140</v>
      </c>
      <c r="D40" s="3" t="s">
        <v>112</v>
      </c>
      <c r="H40" s="6"/>
      <c r="I40" s="6"/>
      <c r="J40" s="41"/>
      <c r="K40" s="102">
        <f>I39*K$12</f>
        <v>19111.928264000002</v>
      </c>
      <c r="L40" s="6"/>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N22"/>
  <sheetViews>
    <sheetView showGridLines="0" zoomScale="80" zoomScaleNormal="80" workbookViewId="0">
      <pane xSplit="4" ySplit="7" topLeftCell="E8" activePane="bottomRight" state="frozen"/>
      <selection pane="topRight" activeCell="E1" sqref="E1"/>
      <selection pane="bottomLeft" activeCell="A8" sqref="A8"/>
      <selection pane="bottomRight"/>
    </sheetView>
  </sheetViews>
  <sheetFormatPr defaultColWidth="9.33203125" defaultRowHeight="13.2"/>
  <cols>
    <col min="1" max="1" width="2.6640625" style="3" customWidth="1"/>
    <col min="2" max="2" width="89.33203125" style="3" bestFit="1" customWidth="1"/>
    <col min="3" max="3" width="2.6640625" style="3" customWidth="1"/>
    <col min="4" max="4" width="15.44140625" style="3" customWidth="1"/>
    <col min="5" max="5" width="2.6640625" style="3" customWidth="1"/>
    <col min="6" max="6" width="13.6640625" style="3" customWidth="1"/>
    <col min="7" max="7" width="2.6640625" style="3" customWidth="1"/>
    <col min="8" max="10" width="11.44140625" style="3" customWidth="1"/>
    <col min="11" max="11" width="13" style="3" customWidth="1"/>
    <col min="12" max="12" width="12.33203125" style="3" customWidth="1"/>
    <col min="13" max="13" width="7.33203125" style="3" customWidth="1"/>
    <col min="14" max="19" width="13.6640625" style="3" customWidth="1"/>
    <col min="20" max="16384" width="9.33203125" style="3"/>
  </cols>
  <sheetData>
    <row r="2" spans="2:14" s="7" customFormat="1" ht="17.399999999999999">
      <c r="B2" s="7" t="s">
        <v>141</v>
      </c>
    </row>
    <row r="4" spans="2:14">
      <c r="B4" s="10" t="s">
        <v>134</v>
      </c>
      <c r="C4" s="2"/>
    </row>
    <row r="5" spans="2:14">
      <c r="B5" s="114" t="s">
        <v>142</v>
      </c>
      <c r="C5" s="114"/>
      <c r="D5" s="114"/>
      <c r="F5" s="8"/>
    </row>
    <row r="7" spans="2:14" s="5" customFormat="1">
      <c r="B7" s="5" t="s">
        <v>7</v>
      </c>
      <c r="D7" s="5" t="s">
        <v>44</v>
      </c>
      <c r="F7" s="5" t="s">
        <v>45</v>
      </c>
      <c r="H7" s="27">
        <v>2022</v>
      </c>
      <c r="I7" s="27">
        <v>2023</v>
      </c>
      <c r="J7" s="27">
        <v>2024</v>
      </c>
      <c r="K7" s="27">
        <v>2025</v>
      </c>
      <c r="L7" s="27">
        <v>2026</v>
      </c>
      <c r="N7" s="5" t="s">
        <v>47</v>
      </c>
    </row>
    <row r="9" spans="2:14" s="5" customFormat="1">
      <c r="B9" s="5" t="s">
        <v>143</v>
      </c>
    </row>
    <row r="11" spans="2:14">
      <c r="B11" s="3" t="s">
        <v>110</v>
      </c>
      <c r="D11" s="3" t="s">
        <v>112</v>
      </c>
      <c r="H11" s="6"/>
      <c r="I11" s="6"/>
      <c r="J11" s="6"/>
      <c r="K11" s="103">
        <f>'5. Nacalculaties'!K20</f>
        <v>85458.588799999998</v>
      </c>
      <c r="L11" s="26"/>
    </row>
    <row r="12" spans="2:14">
      <c r="B12" s="3" t="s">
        <v>116</v>
      </c>
      <c r="D12" s="3" t="s">
        <v>112</v>
      </c>
      <c r="H12" s="6"/>
      <c r="I12" s="6"/>
      <c r="J12" s="6"/>
      <c r="K12" s="103">
        <f>'5. Nacalculaties'!K25</f>
        <v>0</v>
      </c>
      <c r="L12" s="26"/>
    </row>
    <row r="13" spans="2:14">
      <c r="B13" s="3" t="s">
        <v>118</v>
      </c>
      <c r="D13" s="3" t="s">
        <v>112</v>
      </c>
      <c r="H13" s="6"/>
      <c r="I13" s="6"/>
      <c r="J13" s="6"/>
      <c r="K13" s="103">
        <f>'5. Nacalculaties'!K30</f>
        <v>0</v>
      </c>
      <c r="L13" s="26"/>
    </row>
    <row r="14" spans="2:14">
      <c r="B14" s="3" t="s">
        <v>119</v>
      </c>
      <c r="D14" s="3" t="s">
        <v>112</v>
      </c>
      <c r="H14" s="6"/>
      <c r="I14" s="6"/>
      <c r="J14" s="6"/>
      <c r="K14" s="103">
        <f>'5. Nacalculaties'!K35</f>
        <v>-2204138.5392</v>
      </c>
      <c r="L14" s="26"/>
    </row>
    <row r="15" spans="2:14">
      <c r="B15" s="3" t="s">
        <v>121</v>
      </c>
      <c r="D15" s="3" t="s">
        <v>112</v>
      </c>
      <c r="H15" s="6"/>
      <c r="I15" s="6"/>
      <c r="J15" s="6"/>
      <c r="K15" s="103">
        <f>'5. Nacalculaties'!K40</f>
        <v>19111.928264000002</v>
      </c>
      <c r="L15" s="26"/>
    </row>
    <row r="17" spans="2:12" s="5" customFormat="1">
      <c r="B17" s="5" t="s">
        <v>144</v>
      </c>
    </row>
    <row r="19" spans="2:12">
      <c r="B19" s="3" t="s">
        <v>145</v>
      </c>
      <c r="D19" s="3" t="s">
        <v>112</v>
      </c>
      <c r="H19" s="6"/>
      <c r="I19" s="6"/>
      <c r="J19" s="6"/>
      <c r="K19" s="42">
        <f>SUM(K11:K15)</f>
        <v>-2099568.022136</v>
      </c>
      <c r="L19" s="26"/>
    </row>
    <row r="20" spans="2:12">
      <c r="I20" s="39"/>
    </row>
    <row r="21" spans="2:12">
      <c r="I21" s="13"/>
      <c r="J21" s="39"/>
    </row>
    <row r="22" spans="2:12">
      <c r="H22" s="39"/>
      <c r="I22" s="39"/>
      <c r="J22" s="13"/>
      <c r="K22" s="1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O53"/>
  <sheetViews>
    <sheetView showGridLines="0" zoomScale="80" zoomScaleNormal="80" workbookViewId="0">
      <pane xSplit="4" ySplit="7" topLeftCell="E8" activePane="bottomRight" state="frozen"/>
      <selection pane="topRight" activeCell="E1" sqref="E1"/>
      <selection pane="bottomLeft" activeCell="A8" sqref="A8"/>
      <selection pane="bottomRight"/>
    </sheetView>
  </sheetViews>
  <sheetFormatPr defaultColWidth="9.33203125" defaultRowHeight="13.2"/>
  <cols>
    <col min="1" max="1" width="2.6640625" style="3" customWidth="1"/>
    <col min="2" max="2" width="57.33203125" style="3" bestFit="1" customWidth="1"/>
    <col min="3" max="3" width="2.6640625" style="3" customWidth="1"/>
    <col min="4" max="4" width="25.6640625" style="3" customWidth="1"/>
    <col min="5" max="5" width="2.6640625" style="3" customWidth="1"/>
    <col min="6" max="6" width="14.6640625" style="3" bestFit="1" customWidth="1"/>
    <col min="7" max="7" width="2.6640625" style="3" customWidth="1"/>
    <col min="8" max="10" width="12.33203125" style="3" customWidth="1"/>
    <col min="11" max="11" width="16.6640625" style="3" bestFit="1" customWidth="1"/>
    <col min="12" max="12" width="13.6640625" style="3" customWidth="1"/>
    <col min="13" max="13" width="2.6640625" style="3" customWidth="1"/>
    <col min="14" max="21" width="13.6640625" style="3" customWidth="1"/>
    <col min="22" max="16384" width="9.33203125" style="3"/>
  </cols>
  <sheetData>
    <row r="2" spans="2:14" s="7" customFormat="1" ht="17.399999999999999">
      <c r="B2" s="7" t="s">
        <v>146</v>
      </c>
    </row>
    <row r="4" spans="2:14">
      <c r="B4" s="10" t="s">
        <v>134</v>
      </c>
      <c r="C4" s="2"/>
    </row>
    <row r="5" spans="2:14">
      <c r="B5" s="114" t="s">
        <v>147</v>
      </c>
      <c r="C5" s="114"/>
      <c r="D5" s="114"/>
      <c r="F5" s="8"/>
    </row>
    <row r="7" spans="2:14" s="5" customFormat="1">
      <c r="B7" s="5" t="s">
        <v>7</v>
      </c>
      <c r="D7" s="5" t="s">
        <v>44</v>
      </c>
      <c r="F7" s="5" t="s">
        <v>45</v>
      </c>
      <c r="H7" s="27">
        <v>2022</v>
      </c>
      <c r="I7" s="27">
        <v>2023</v>
      </c>
      <c r="J7" s="27">
        <v>2024</v>
      </c>
      <c r="K7" s="27">
        <v>2025</v>
      </c>
      <c r="L7" s="27">
        <v>2026</v>
      </c>
      <c r="N7" s="5" t="s">
        <v>47</v>
      </c>
    </row>
    <row r="9" spans="2:14" s="5" customFormat="1">
      <c r="B9" s="5" t="s">
        <v>148</v>
      </c>
    </row>
    <row r="11" spans="2:14">
      <c r="B11" s="10" t="s">
        <v>125</v>
      </c>
    </row>
    <row r="12" spans="2:14">
      <c r="B12" s="3" t="s">
        <v>126</v>
      </c>
      <c r="D12" s="3" t="s">
        <v>127</v>
      </c>
      <c r="H12" s="6"/>
      <c r="I12" s="6"/>
      <c r="J12" s="41"/>
      <c r="K12" s="24">
        <f>'4. Input capaciteit'!M12</f>
        <v>138087814</v>
      </c>
      <c r="L12" s="6"/>
    </row>
    <row r="13" spans="2:14">
      <c r="B13" s="3" t="s">
        <v>129</v>
      </c>
      <c r="D13" s="3" t="s">
        <v>127</v>
      </c>
      <c r="H13" s="6"/>
      <c r="I13" s="6"/>
      <c r="J13" s="41"/>
      <c r="K13" s="24">
        <f>'4. Input capaciteit'!M13</f>
        <v>236912186</v>
      </c>
      <c r="L13" s="6"/>
    </row>
    <row r="15" spans="2:14">
      <c r="B15" s="3" t="s">
        <v>130</v>
      </c>
      <c r="D15" s="3" t="s">
        <v>127</v>
      </c>
      <c r="H15" s="6"/>
      <c r="I15" s="6"/>
      <c r="J15" s="41"/>
      <c r="K15" s="24">
        <f>'4. Input capaciteit'!M15</f>
        <v>47529361</v>
      </c>
      <c r="L15" s="6"/>
    </row>
    <row r="16" spans="2:14">
      <c r="B16" s="3" t="s">
        <v>131</v>
      </c>
      <c r="D16" s="3" t="s">
        <v>127</v>
      </c>
      <c r="H16" s="6"/>
      <c r="I16" s="6"/>
      <c r="J16" s="41"/>
      <c r="K16" s="24">
        <f>'4. Input capaciteit'!M16</f>
        <v>28422166</v>
      </c>
      <c r="L16" s="6"/>
    </row>
    <row r="18" spans="2:15">
      <c r="B18" s="3" t="s">
        <v>132</v>
      </c>
      <c r="D18" s="3" t="s">
        <v>127</v>
      </c>
      <c r="H18" s="6"/>
      <c r="I18" s="6"/>
      <c r="J18" s="41"/>
      <c r="K18" s="24">
        <f>'4. Input capaciteit'!M18</f>
        <v>31903239</v>
      </c>
      <c r="L18" s="6"/>
    </row>
    <row r="20" spans="2:15">
      <c r="B20" s="2" t="s">
        <v>66</v>
      </c>
    </row>
    <row r="21" spans="2:15">
      <c r="B21" s="3" t="s">
        <v>67</v>
      </c>
      <c r="D21" s="3" t="s">
        <v>63</v>
      </c>
      <c r="F21" s="32">
        <f>'2. Parameters'!F30</f>
        <v>0.75</v>
      </c>
    </row>
    <row r="22" spans="2:15">
      <c r="B22" s="3" t="s">
        <v>68</v>
      </c>
      <c r="D22" s="3" t="s">
        <v>63</v>
      </c>
      <c r="F22" s="32">
        <f>'2. Parameters'!F31</f>
        <v>0.2</v>
      </c>
    </row>
    <row r="23" spans="2:15">
      <c r="F23" s="11"/>
    </row>
    <row r="24" spans="2:15">
      <c r="B24" s="2" t="s">
        <v>61</v>
      </c>
      <c r="F24" s="11"/>
    </row>
    <row r="25" spans="2:15">
      <c r="B25" s="3" t="s">
        <v>62</v>
      </c>
      <c r="D25" s="3" t="s">
        <v>63</v>
      </c>
      <c r="F25" s="32">
        <f>'2. Parameters'!F25</f>
        <v>0.4</v>
      </c>
    </row>
    <row r="26" spans="2:15">
      <c r="B26" s="3" t="s">
        <v>65</v>
      </c>
      <c r="D26" s="3" t="s">
        <v>63</v>
      </c>
      <c r="F26" s="32">
        <f>'2. Parameters'!F26</f>
        <v>0.6</v>
      </c>
    </row>
    <row r="28" spans="2:15" s="5" customFormat="1">
      <c r="B28" s="5" t="s">
        <v>149</v>
      </c>
    </row>
    <row r="30" spans="2:15">
      <c r="B30" s="3" t="s">
        <v>144</v>
      </c>
      <c r="D30" s="3" t="s">
        <v>112</v>
      </c>
      <c r="H30" s="6"/>
      <c r="I30" s="41"/>
      <c r="J30" s="41"/>
      <c r="K30" s="24">
        <f>'6. Toegestane inkomsten'!K19</f>
        <v>-2099568.022136</v>
      </c>
      <c r="L30" s="6"/>
      <c r="N30" s="39"/>
      <c r="O30" s="13"/>
    </row>
    <row r="32" spans="2:15">
      <c r="B32" s="3" t="s">
        <v>150</v>
      </c>
      <c r="D32" s="3" t="s">
        <v>151</v>
      </c>
      <c r="H32" s="6"/>
      <c r="I32" s="6"/>
      <c r="J32" s="62"/>
      <c r="K32" s="15">
        <f>(K$30*$F25)/K12</f>
        <v>-6.0818343380712805E-3</v>
      </c>
      <c r="L32" s="6"/>
      <c r="N32" s="107"/>
    </row>
    <row r="33" spans="2:14">
      <c r="B33" s="3" t="s">
        <v>152</v>
      </c>
      <c r="D33" s="3" t="s">
        <v>151</v>
      </c>
      <c r="H33" s="6"/>
      <c r="I33" s="6"/>
      <c r="J33" s="93"/>
      <c r="K33" s="15">
        <f>(K$30*$F26)/K13</f>
        <v>-5.3173322763633603E-3</v>
      </c>
      <c r="L33" s="6"/>
    </row>
    <row r="35" spans="2:14" s="5" customFormat="1">
      <c r="B35" s="5" t="s">
        <v>153</v>
      </c>
    </row>
    <row r="37" spans="2:14">
      <c r="B37" s="3" t="s">
        <v>154</v>
      </c>
      <c r="D37" s="3" t="s">
        <v>112</v>
      </c>
      <c r="H37" s="6"/>
      <c r="I37" s="6"/>
      <c r="J37" s="41"/>
      <c r="K37" s="25">
        <f>$F21*(K15*K32+K16*K33)+F22*K18*K32</f>
        <v>-368952.89321343641</v>
      </c>
      <c r="L37" s="6"/>
      <c r="N37" s="39"/>
    </row>
    <row r="38" spans="2:14">
      <c r="B38" s="3" t="s">
        <v>155</v>
      </c>
      <c r="H38" s="6"/>
      <c r="I38" s="6"/>
      <c r="J38" s="62"/>
      <c r="K38" s="15">
        <f>K30/(K30-K37)</f>
        <v>1.2131917646202117</v>
      </c>
      <c r="L38" s="6"/>
    </row>
    <row r="40" spans="2:14" s="5" customFormat="1">
      <c r="B40" s="5" t="s">
        <v>156</v>
      </c>
    </row>
    <row r="42" spans="2:14">
      <c r="B42" s="3" t="s">
        <v>157</v>
      </c>
      <c r="D42" s="3" t="s">
        <v>151</v>
      </c>
      <c r="H42" s="6"/>
      <c r="I42" s="62"/>
      <c r="J42" s="94"/>
      <c r="K42" s="51">
        <f>K32*K$38</f>
        <v>-7.3784313327324939E-3</v>
      </c>
      <c r="L42" s="6"/>
      <c r="N42" s="13"/>
    </row>
    <row r="43" spans="2:14">
      <c r="B43" s="3" t="s">
        <v>158</v>
      </c>
      <c r="D43" s="3" t="s">
        <v>151</v>
      </c>
      <c r="H43" s="6"/>
      <c r="I43" s="62"/>
      <c r="J43" s="94"/>
      <c r="K43" s="51">
        <f>K33*K$38</f>
        <v>-6.4509437274332723E-3</v>
      </c>
      <c r="L43" s="6"/>
      <c r="N43" s="61"/>
    </row>
    <row r="44" spans="2:14">
      <c r="B44" s="3" t="s">
        <v>159</v>
      </c>
      <c r="D44" s="3" t="s">
        <v>151</v>
      </c>
      <c r="H44" s="6"/>
      <c r="I44" s="62"/>
      <c r="J44" s="94"/>
      <c r="K44" s="51">
        <f>(1-$F$21)*K32*K$38</f>
        <v>-1.8446078331831235E-3</v>
      </c>
      <c r="L44" s="6"/>
      <c r="N44" s="61"/>
    </row>
    <row r="45" spans="2:14">
      <c r="B45" s="3" t="s">
        <v>160</v>
      </c>
      <c r="D45" s="3" t="s">
        <v>151</v>
      </c>
      <c r="H45" s="6"/>
      <c r="I45" s="62"/>
      <c r="J45" s="94"/>
      <c r="K45" s="51">
        <f>(1-$F$21)*K33*K$38</f>
        <v>-1.6127359318583181E-3</v>
      </c>
      <c r="L45" s="6"/>
      <c r="N45" s="61"/>
    </row>
    <row r="46" spans="2:14">
      <c r="B46" s="3" t="s">
        <v>161</v>
      </c>
      <c r="D46" s="3" t="s">
        <v>151</v>
      </c>
      <c r="H46" s="6"/>
      <c r="I46" s="62"/>
      <c r="J46" s="94"/>
      <c r="K46" s="51">
        <f>(1-F22)*K32*K38</f>
        <v>-5.902745066185996E-3</v>
      </c>
      <c r="L46" s="6"/>
      <c r="N46" s="61"/>
    </row>
    <row r="48" spans="2:14" s="5" customFormat="1">
      <c r="B48" s="5" t="s">
        <v>162</v>
      </c>
    </row>
    <row r="50" spans="2:12">
      <c r="B50" s="3" t="s">
        <v>163</v>
      </c>
      <c r="D50" s="3" t="s">
        <v>112</v>
      </c>
      <c r="H50" s="6"/>
      <c r="I50" s="6"/>
      <c r="J50" s="95"/>
      <c r="K50" s="12">
        <f>K12*K32+K13*K33</f>
        <v>-2099568.022136</v>
      </c>
      <c r="L50" s="6"/>
    </row>
    <row r="51" spans="2:12">
      <c r="B51" s="3" t="s">
        <v>164</v>
      </c>
      <c r="D51" s="3" t="s">
        <v>112</v>
      </c>
      <c r="H51" s="6"/>
      <c r="I51" s="6"/>
      <c r="J51" s="95"/>
      <c r="K51" s="12">
        <f>(K12-K15-K18)*K42+(K13-K16)*K43+K15*K44+K16*K45+K18*K46</f>
        <v>-2099568.022136</v>
      </c>
      <c r="L51" s="6"/>
    </row>
    <row r="53" spans="2:12">
      <c r="B53" s="3" t="s">
        <v>165</v>
      </c>
      <c r="H53" s="6"/>
      <c r="I53" s="6"/>
      <c r="J53" s="95"/>
      <c r="K53" s="12" t="b">
        <f>ROUND(K50,3)=ROUND(K51,3)</f>
        <v>1</v>
      </c>
      <c r="L53" s="6"/>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  s t a n d a l o n e = " n o " ? > < D a t a M a s h u p   x m l n s = " h t t p : / / s c h e m a s . m i c r o s o f t . c o m / D a t a M a s h u p " > A A A A A B s 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V F T Q i K w A A A D 4 A A A A E g A A A E N v b m Z p Z y 9 Q Y W N r Y W d l L n h t b I S P v Q 6 C M A C E d x P f g X S n f z i R U g Z X M C Y m x r W B B h p L a 2 i x v J u D j + Q r C F H U z f H u v u T u H r c 7 y 8 d O R 1 f Z O 2 V N B g j E I H J e m F p o a 2 Q G j A U 5 X 6 / Y X l R n 0 c h o o o 1 L R 1 d n o P X + k i I U Q o A h g b Z v E M W Y o F N Z H K p W d g J 8 Y P U f j p W Z a y s J O D u + 1 n A K C d l A S m k C M U O L y 0 p l v g S d F s / p j 8 m 2 g / Z D L 7 n R 8 a 5 g a J E M v U / w J w A A A P / / A w B Q S w M E F A A C A A g A A A A h A I H O i Y s r B Q A A X h g A A B M A A A B G b 3 J t d W x h c y 9 T Z W N 0 a W 9 u M S 5 t 7 F h t b + J G E P 4 e 6 f 7 D y v k C E p A Y o n 6 5 E g n u 2 o h r E n p A c x 8 Q i h Y 8 m A V 7 T b 1 r c g 3 i v 3 f W N v g F 2 x j l d N d W j V A w 6 9 1 5 e W b m m d 0 V M J P M 4 W Q Y f O v v L y 7 E g r p g k E v t y x + 9 q 7 4 9 d b w X j b S J B f L d B c G / r o v z 2 2 T 4 p 9 X 4 S C W d U g G i o n U + P N Q f h p / v 6 9 f 1 V q u m 3 7 R a 1 1 q 1 F q w Y f H y + f + w + 3 + E q t X g 7 f q Q 2 t L X 9 s D b Z j Z W k S T j d m D r P P b 4 B I c F l 3 A S l b T 9 3 O x 7 O F m D T t o a z t F p P g t 3 W E p P T 0 i 6 1 T 5 S 6 t + 3 m d f N a + T G i U w s a Q 7 D Q 4 4 H z I i p H 6 m o E 6 G x B x m o d m Y L J O K F z M V u 4 b L k B P i G 3 b a K E V Q 8 K B m y J R p o w Z x b K M D K 1 J M w I N V T G l 9 o T u B v K U Y d J r o j H 5 N Q F Z u A v b Y J S V A g 0 4 r i E j I N A S E p X / o t P V K v m G q D n W J C 2 8 2 B G B 4 O / o T M q w X R c B h P y 8 y 3 R b l p k K N l K S G c e 6 e q g r b C m Q u q l V O g H H c r X b E B 9 T x U s h H K D B J A I B v 6 w X l X e n 1 6 r v 2 F t M 2 N t s x p D t 8 c N + E q k A y Z s 8 F 8 s v h 3 D 8 F 9 + c C z P 5 p U I n B o J V q H 7 u v / p c f n T T W P 0 1 x o i u U + O h X A b Q D A B y M q x H N v 2 s X t h y 1 c W V z M A N c 0 N t C i U j y y q b Q / 6 4 t U g p m C 4 1 F S j O R j g m 1 T w 1 V B u U u K 7 L y A l W G y 5 A q K y U Q 0 p t w h V Y n y t a u i B K l C T Y 1 E K + 7 / W N r i r 8 F U X L c Y F Y k 1 V V m q / O h b 6 G 3 / B K b V D y 0 R g 4 4 g t D c K 4 B a + h G 5 4 E z 9 V 2 E b 6 / 7 S F F E x B T I 1 G a A 7 C d D U S Q n g o G I v w G z 0 v 5 W s K 3 d x e M F 7 k X 0 X e a Q P + n 7 x z 6 P s V o W b S d I u N H g A y G b G b L i / S V b w N P T / s 2 c G r m A B v G s S m t E 6 Y 0 / w s 0 v W 8 9 p u v A G h L F f u c 6 3 j q i 5 1 a N b L N o L 5 8 j c 2 h o h 4 K 2 2 Y T r w 3 n P h G w M P b s y P p 4 z q d a I V P T B P c t S V u K D P Q V 3 t z t 2 S T i u T H o 0 x J F K l s 8 1 N C j X j 7 5 q I 4 2 O m A F X K R N X V b r J Z V j 1 L + 9 2 e c F N s O 0 p 8 y P m / Q i C R U b 9 s 6 k 3 a W s W + 5 b Z 2 + Z R M L K J C k S S O A J 0 4 5 U f m 6 O X m N N M z 4 m x Q B b 5 J i v l s P f F O u k 7 r l g j r C u / q 5 M Y E m K J + o o K J q t r K E W R A U p B k G w r i w o B x e V 3 o t J j O 8 u w v o v F n b X 1 O a 7 n b f 4 m 5 f S 2 6 w w m y T L z R 5 J J K l 4 l E m Q f i 6 z N Y Y o I K k 5 C G i T E B d R V D T a L 2 N J x S K J H B g M i s O T 5 g v r l b I M k R k J s I Y E V 5 Y P + T f f C u 9 K x 0 Q u C k 2 n m G w P 0 3 a K w z 4 R v 0 U 7 0 W D / p 2 6 + o z 2 8 j e V 0 k u 4 m g 7 k O j q N Y O D S L N + Y f e k t E f f N 1 R U z i z J 6 Q 1 / Y C 2 8 B Y + j F r F 2 X T o n 3 Y R O h d M z w o S j z O Q d U l x z z E 3 I R g P 6 a 5 L L c p n Q Q Y 6 U d r 5 Q t Q Z 0 l T V d d 5 N T z a x h q e N o T e N X f X g o W H k Y A 1 b R L q U i z U 2 g X q N T G M 2 4 U 8 8 0 w o L D x t + G O s E B a 9 e q M U k M C l m D s Z Y g e 4 T Q S H m e m n Q / b I P 7 Y r B F R 6 2 f c W I 0 K 6 K J V W k L n 6 d 2 V + D S 9 U l J w K F J e d D / F 1 3 Z 5 e q s p 5 z z C j c p m W t O R J + V o 7 n W a J Q H 1 1 1 8 d M Z X X V G K g d / v / f 7 2 + e O + n o E D 9 M k j P w C 5 v O Q / E 6 F i s S y G Z 9 + s Z j N O C o H Q a S H Z M 7 J 3 W h I u o 2 n h k q u u 7 v g O S Z Z 0 b k L K + A B Z 5 0 x + z C 3 8 P L l 9 L 6 m 3 C 1 v Y e U d 0 V V G M f b 4 y n H W Q T j Q O 3 B N 7 D 5 2 w 2 t s G m Q N d I X 5 j K L 9 6 4 C S i 6 N V J G d Z n 0 u b c t X Q s d z D 1 U b 6 a F A N L U 4 y b L y p p R F 6 / z c A A A D / / w M A U E s B A i 0 A F A A G A A g A A A A h A C r d q k D S A A A A N w E A A B M A A A A A A A A A A A A A A A A A A A A A A F t D b 2 5 0 Z W 5 0 X 1 R 5 c G V z X S 5 4 b W x Q S w E C L Q A U A A I A C A A A A C E A V F T Q i K w A A A D 4 A A A A E g A A A A A A A A A A A A A A A A A L A w A A Q 2 9 u Z m l n L 1 B h Y 2 t h Z 2 U u e G 1 s U E s B A i 0 A F A A C A A g A A A A h A I H O i Y s r B Q A A X h g A A B M A A A A A A A A A A A A A A A A A 5 w M A A E Z v c m 1 1 b G F z L 1 N l Y 3 R p b 2 4 x L m 1 Q S w U G A A A A A A M A A w D C A A A A Q w k 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V O A A A A A A A A 8 0 0 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J b n Z l c 3 R l c m l u Z 2 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M S 0 x M F Q w O T o y N T o 1 M y 4 x N D c x M z c 4 W i I v P j x F b n R y e S B U e X B l P S J G a W x s Q 2 9 s d W 1 u V H l w Z X M i I F Z h b H V l P S J z Q X d V R k J n W U Q i L z 4 8 R W 5 0 c n k g V H l w Z T 0 i R m l s b E N v b H V t b k 5 h b W V z I i B W Y W x 1 Z T 0 i c 1 s m c X V v d D t J b m R l e C Z x d W 9 0 O y w m c X V v d D t J b n Z l c 3 R l c m l u Z 3 N i Z W R y Y W c m c X V v d D s s J n F 1 b 3 Q 7 S m F h c i B i Z W d p b i B h Z n N j a H J p a n Z l b i Z x d W 9 0 O y w m c X V v d D t B Y 3 R p d m F j Y X R l Z 2 9 y a W U m c X V v d D s s J n F 1 b 3 Q 7 Q m V z d G F u Z H N u Y W F t J n F 1 b 3 Q 7 L C Z x d W 9 0 O 1 Z l c n N 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T Y z M z U w M z k t Z m M 4 Y y 0 0 M z k 0 L T l i N D c t M j N i M D J m Z T B k O T I x I i 8 + P E V u d H J 5 I F R 5 c G U 9 I l J l b G F 0 a W 9 u c 2 h p c E l u Z m 9 D b 2 5 0 Y W l u Z X I i I F Z h b H V l P S J z e y Z x d W 9 0 O 2 N v b H V t b k N v d W 5 0 J n F 1 b 3 Q 7 O j Y s J n F 1 b 3 Q 7 a 2 V 5 Q 2 9 s d W 1 u T m F t Z X M m c X V v d D s 6 W 1 0 s J n F 1 b 3 Q 7 c X V l c n l S Z W x h d G l v b n N o a X B z J n F 1 b 3 Q 7 O l t d L C Z x d W 9 0 O 2 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D b 2 x 1 b W 5 D b 3 V u d C Z x d W 9 0 O z o 2 L C Z x d W 9 0 O 0 t l e U N v b H V t b k 5 h b W V z J n F 1 b 3 Q 7 O l t d L C Z x d W 9 0 O 0 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R l c 2 l u d m V z d G V y a W 5 n 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M S 0 x M F Q w O T o 0 N T o 1 N y 4 0 N j c 4 N D A 3 W i I v P j x F b n R y e S B U e X B l P S J G a W x s Q 2 9 s d W 1 u V H l w Z X M i I F Z h b H V l P S J z Q X d Z Q 0 J R V U R C Z 0 0 9 I i 8 + P E V u d H J 5 I F R 5 c G U 9 I k Z p b G x D b 2 x 1 b W 5 O Y W 1 l c y I g V m F s d W U 9 I n N b J n F 1 b 3 Q 7 S W 5 k Z X g m c X V v d D s s J n F 1 b 3 Q 7 Q W N 0 a X Z h a 2 x h c 3 N l J n F 1 b 3 Q 7 L C Z x d W 9 0 O 0 9 v c n N w c m 9 u a 2 V s a W p r I G l u d m V z d G V y a W 5 n c 2 p h Y X I m c X V v d D s s J n F 1 b 3 Q 7 R G V z a W 5 2 Z X N 0 Z X J p b m c g K G 9 v c n N w c m 9 u a 2 V s a W p r Z S B p b n Z l c 3 R l c m l u Z 3 N i Z W R y Y W c p J n F 1 b 3 Q 7 L C Z x d W 9 0 O 0 9 w Y n J l b m d z d G V u I G R p Z S B z Y W 1 l b m h h b m d l b i B t Z X Q g Z G V z a W 5 2 Z X N 0 Z X J p b m c m c X V v d D s s J n F 1 b 3 Q 7 S m F h c i Z x d W 9 0 O y w m c X V v d D t C Z X N 0 Y W 5 k c 2 5 h Y W 0 m c X V v d D s s J n F 1 b 3 Q 7 V m V y c 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Y T k 3 M 2 Z l Y i 0 5 Y z R j L T Q 3 O G Q t Y W N j Y y 0 2 Y z Q w M 2 M z O G V m Y 2 M i L z 4 8 R W 5 0 c n k g V H l w Z T 0 i U m V s Y X R p b 2 5 z a G l w S W 5 m b 0 N v b n R h a W 5 l c i I g V m F s d W U 9 I n N 7 J n F 1 b 3 Q 7 Y 2 9 s d W 1 u Q 2 9 1 b n Q m c X V v d D s 6 O C w m c X V v d D t r Z X l D b 2 x 1 b W 5 O Y W 1 l c y Z x d W 9 0 O z p b X S w m c X V v d D t x d W V y e V J l b G F 0 a W 9 u c 2 h p c H M m c X V v d D s 6 W 1 0 s J n F 1 b 3 Q 7 Y 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D b 2 x 1 b W 5 D b 3 V u d C Z x d W 9 0 O z o 4 L C Z x d W 9 0 O 0 t l e U N v b H V t b k 5 h b W V z J n F 1 b 3 Q 7 O l t d L C Z x d W 9 0 O 0 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P b X p l d 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E t M T B U M D k 6 M j U 6 N T M u M j E 3 M T M 3 N l o i L z 4 8 R W 5 0 c n k g V H l w Z T 0 i R m l s b E N v b H V t b l R 5 c G V z I i B W Y W x 1 Z T 0 i c 0 J n W U R C U V V G Q l F Z R C I v P j x F b n R y e S B U e X B l P S J G a W x s Q 2 9 s d W 1 u T m F t Z X M i I F Z h b H V l P S J z W y Z x d W 9 0 O 0 N h d G V n b 3 J p Z S Z x d W 9 0 O y w m c X V v d D t T d W J j Y X R l Z 2 9 y a W U m c X V v d D s s J n F 1 b 3 Q 7 S m F h c i Z x d W 9 0 O y w m c X V v d D t P b X p l d H J l Z 3 V s Z X J p b m c g d G F y a W V m Z 2 V y Z W d 1 b G V l c m Q m c X V v d D s s J n F 1 b 3 Q 7 T 3 Z l c m J v Z W s t I G V u I H R l c n V n a 2 9 v c H J l Z 2 V s a W 5 n J n F 1 b 3 Q 7 L C Z x d W 9 0 O 1 Z l a W x p b m d n Z W x k Z W 4 m c X V v d D s s J n F 1 b 3 Q 7 U 2 F s Z G 8 g Y W R t a W 5 p c 3 R y Y X R p Z X Z l I G 9 u Y m F s Y W 5 z J n F 1 b 3 Q 7 L C Z x d W 9 0 O 0 J l c 3 R h b m R z b m F h b S Z x d W 9 0 O y w m c X V v d D t W Z X J z a 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Y w N D F k Z D B l L T c y O T A t N D U x Z i 1 h N z g 2 L W M 5 Z D d m Y W Q 4 N z Z l M S I v P j x F b n R y e S B U e X B l P S J S Z W x h d G l v b n N o a X B J b m Z v Q 2 9 u d G F p b m V y I i B W Y W x 1 Z T 0 i c 3 s m c X V v d D t j b 2 x 1 b W 5 D b 3 V u d C Z x d W 9 0 O z o 5 L C Z x d W 9 0 O 2 t l e U N v b H V t b k 5 h b W V z J n F 1 b 3 Q 7 O l t d L C Z x d W 9 0 O 3 F 1 Z X J 5 U m V s Y X R p b 2 5 z a G l w c y Z x d W 9 0 O z p b X S w m c X V v d D t j 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D b 2 x 1 b W 5 D b 3 V u d C Z x d W 9 0 O z o 5 L C Z x d W 9 0 O 0 t l e U N v b H V t b k 5 h b W V z J n F 1 b 3 Q 7 O l t d L C Z x d W 9 0 O 0 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V 1 V J J T J G T 2 1 i b 3 V 3 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M S 0 x M F Q w O T o y N T o 1 M y 4 w N T c x M z k w W i I v P j x F b n R y e S B U e X B l P S J G a W x s Q 2 9 s d W 1 u V H l w Z X M i I F Z h b H V l P S J z Q X d V R k J n W U d C Z z 0 9 I i 8 + P E V u d H J 5 I F R 5 c G U 9 I k Z p b G x D b 2 x 1 b W 5 O Y W 1 l c y I g V m F s d W U 9 I n N b J n F 1 b 3 Q 7 S W 5 k Z X g m c X V v d D s s J n F 1 b 3 Q 7 S W 5 2 Z X N 0 Z X J p b m d z Y m V k c m F n J n F 1 b 3 Q 7 L C Z x d W 9 0 O 0 p h Y X I g Y m V n a W 4 g Y W Z z Y 2 h y a W p 2 Z W 4 m c X V v d D s s J n F 1 b 3 Q 7 Q W N 0 a X Z h Y 2 F 0 Z W d v c m l l J n F 1 b 3 Q 7 L C Z x d W 9 0 O 1 Z l c n Z h b m d p b m c g L y B 1 a X R i c m V p Z G l u Z y Z x d W 9 0 O y w m c X V v d D t P b W J v d X d 0 Y W F r J n F 1 b 3 Q 7 L C Z x d W 9 0 O 0 J l c 3 R h b m R z b m F h b 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T l j Y 2 U 3 N z M t M D M 3 Y y 0 0 Z m U z L T k y O T Q t Y z R j N T k x N j R k O D M w I i 8 + P E V u d H J 5 I F R 5 c G U 9 I l J l b G F 0 a W 9 u c 2 h p c E l u Z m 9 D b 2 5 0 Y W l u Z X I i I F Z h b H V l P S J z e y Z x d W 9 0 O 2 N v b H V t b k N v d W 5 0 J n F 1 b 3 Q 7 O j c s J n F 1 b 3 Q 7 a 2 V 5 Q 2 9 s d W 1 u T m F t Z X M m c X V v d D s 6 W 1 0 s J n F 1 b 3 Q 7 c X V l c n l S Z W x h d G l v b n N o a X B z J n F 1 b 3 Q 7 O l t d L C Z x d W 9 0 O 2 N v b H V t b k l k Z W 5 0 a X R p Z X M m c X V v d D s 6 W y Z x d W 9 0 O 1 N l Y 3 R p b 2 4 x L 1 d V S V x c L 0 9 t Y m 9 1 d y 9 B d X R v U m V t b 3 Z l Z E N v b H V t b n M x L n t J b m R l e C w w f S Z x d W 9 0 O y w m c X V v d D t T Z W N 0 a W 9 u M S 9 X V U l c X C 9 P b W J v d X c v Q X V 0 b 1 J l b W 9 2 Z W R D b 2 x 1 b W 5 z M S 5 7 S W 5 2 Z X N 0 Z X J p b m d z Y m V k c m F n L D F 9 J n F 1 b 3 Q 7 L C Z x d W 9 0 O 1 N l Y 3 R p b 2 4 x L 1 d V S V x c L 0 9 t Y m 9 1 d y 9 B d X R v U m V t b 3 Z l Z E N v b H V t b n M x L n t K Y W F y I G J l Z 2 l u I G F m c 2 N o c m l q d m V u L D J 9 J n F 1 b 3 Q 7 L C Z x d W 9 0 O 1 N l Y 3 R p b 2 4 x L 1 d V S V x c L 0 9 t Y m 9 1 d y 9 B d X R v U m V t b 3 Z l Z E N v b H V t b n M x L n t B Y 3 R p d m F j Y X R l Z 2 9 y a W U s M 3 0 m c X V v d D s s J n F 1 b 3 Q 7 U 2 V j d G l v b j E v V 1 V J X F w v T 2 1 i b 3 V 3 L 0 F 1 d G 9 S Z W 1 v d m V k Q 2 9 s d W 1 u c z E u e 1 Z l c n Z h b m d p b m c g L y B 1 a X R i c m V p Z G l u Z y w 0 f S Z x d W 9 0 O y w m c X V v d D t T Z W N 0 a W 9 u M S 9 X V U l c X C 9 P b W J v d X c v Q X V 0 b 1 J l b W 9 2 Z W R D b 2 x 1 b W 5 z M S 5 7 T 2 1 i b 3 V 3 d G F h a y w 1 f S Z x d W 9 0 O y w m c X V v d D t T Z W N 0 a W 9 u M S 9 X V U l c X C 9 P b W J v d X c v Q X V 0 b 1 J l b W 9 2 Z W R D b 2 x 1 b W 5 z M S 5 7 Q m V z d G F u Z H N u Y W F t L D Z 9 J n F 1 b 3 Q 7 X S w m c X V v d D t D b 2 x 1 b W 5 D b 3 V u d C Z x d W 9 0 O z o 3 L C Z x d W 9 0 O 0 t l e U N v b H V t b k 5 h b W V z J n F 1 b 3 Q 7 O l t d L C Z x d W 9 0 O 0 N v b H V t b k l k Z W 5 0 a X R p Z X M m c X V v d D s 6 W y Z x d W 9 0 O 1 N l Y 3 R p b 2 4 x L 1 d V S V x c L 0 9 t Y m 9 1 d y 9 B d X R v U m V t b 3 Z l Z E N v b H V t b n M x L n t J b m R l e C w w f S Z x d W 9 0 O y w m c X V v d D t T Z W N 0 a W 9 u M S 9 X V U l c X C 9 P b W J v d X c v Q X V 0 b 1 J l b W 9 2 Z W R D b 2 x 1 b W 5 z M S 5 7 S W 5 2 Z X N 0 Z X J p b m d z Y m V k c m F n L D F 9 J n F 1 b 3 Q 7 L C Z x d W 9 0 O 1 N l Y 3 R p b 2 4 x L 1 d V S V x c L 0 9 t Y m 9 1 d y 9 B d X R v U m V t b 3 Z l Z E N v b H V t b n M x L n t K Y W F y I G J l Z 2 l u I G F m c 2 N o c m l q d m V u L D J 9 J n F 1 b 3 Q 7 L C Z x d W 9 0 O 1 N l Y 3 R p b 2 4 x L 1 d V S V x c L 0 9 t Y m 9 1 d y 9 B d X R v U m V t b 3 Z l Z E N v b H V t b n M x L n t B Y 3 R p d m F j Y X R l Z 2 9 y a W U s M 3 0 m c X V v d D s s J n F 1 b 3 Q 7 U 2 V j d G l v b j E v V 1 V J X F w v T 2 1 i b 3 V 3 L 0 F 1 d G 9 S Z W 1 v d m V k Q 2 9 s d W 1 u c z E u e 1 Z l c n Z h b m d p b m c g L y B 1 a X R i c m V p Z G l u Z y w 0 f S Z x d W 9 0 O y w m c X V v d D t T Z W N 0 a W 9 u M S 9 X V U l c X C 9 P b W J v d X c v Q X V 0 b 1 J l b W 9 2 Z W R D b 2 x 1 b W 5 z M S 5 7 T 2 1 i b 3 V 3 d G F h a y w 1 f S Z x d W 9 0 O y w m c X V v d D t T Z W N 0 a W 9 u M S 9 X V U l c X C 9 P b W J v d X c v Q X V 0 b 1 J l b W 9 2 Z W R D b 2 x 1 b W 5 z M S 5 7 Q m V z d G F u Z H N u Y W F t L D Z 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9 w Z X J h d G l v b m V s Z S U y M G t v c 3 R l b 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E t M T B U M D k 6 M j U 6 N T M u M j g y M T k x M F o i L z 4 8 R W 5 0 c n k g V H l w Z T 0 i R m l s b E N v b H V t b l R 5 c G V z I i B W Y W x 1 Z T 0 i c 0 J n W U R C U V V H Q X c 9 P S I v P j x F b n R y e S B U e X B l P S J G a W x s Q 2 9 s d W 1 u T m F t Z X M i I F Z h b H V l P S J z W y Z x d W 9 0 O 0 N h d G V n b 3 J p Z S Z x d W 9 0 O y w m c X V v d D t T d W J j Y X R l Z 2 9 y a W U m c X V v d D s s J n F 1 b 3 Q 7 S m F h c i Z x d W 9 0 O y w m c X V v d D t U V C 9 C V C 9 B V C Z x d W 9 0 O y w m c X V v d D t L Q y Z x d W 9 0 O y w m c X V v d D t C Z X N 0 Y W 5 k c 2 5 h Y W 0 m c X V v d D s s J n F 1 b 3 Q 7 V m V y c 2 l l J n F 1 b 3 Q 7 X S I v P j x F b n R y e S B U e X B l P S J G a W x s Z W R D b 2 1 w b G V 0 Z V J l c 3 V s d F R v V 2 9 y a 3 N o Z W V 0 I i B W Y W x 1 Z T 0 i b D E i L z 4 8 R W 5 0 c n k g V H l w Z T 0 i R m l s b F N 0 Y X R 1 c y I g V m F s d W U 9 I n N D b 2 1 w b G V 0 Z S I v P j x F b n R y e S B U e X B l P S J G a W x s V G F y Z 2 V 0 T m F t Z U N 1 c 3 R v b W l 6 Z W Q i I F Z h b H V l P S J s M S I v P j x F b n R y e S B U e X B l P S J G a W x s V G 9 E Y X R h T W 9 k Z W x F b m F i b G V k I i B W Y W x 1 Z T 0 i b D A i L z 4 8 R W 5 0 c n k g V H l w Z T 0 i S X N Q c m l 2 Y X R l I i B W Y W x 1 Z T 0 i b D A i L z 4 8 R W 5 0 c n k g V H l w Z T 0 i U X V l c n l J R C I g V m F s d W U 9 I n M 0 M T F k Z m Q 4 Y S 0 y Y j k 4 L T Q 3 O W Q t O T I 0 M i 0 y N G Q 4 M D E x M z l m M T M i L z 4 8 R W 5 0 c n k g V H l w Z T 0 i U m V s Y X R p b 2 5 z a G l w S W 5 m b 0 N v b n R h a W 5 l c i I g V m F s d W U 9 I n N 7 J n F 1 b 3 Q 7 Y 2 9 s d W 1 u Q 2 9 1 b n Q m c X V v d D s 6 N y w m c X V v d D t r Z X l D b 2 x 1 b W 5 O Y W 1 l c y Z x d W 9 0 O z p b X S w m c X V v d D t x d W V y e V J l b G F 0 a W 9 u c 2 h p c H M m c X V v d D s 6 W 1 0 s J n F 1 b 3 Q 7 Y 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Q 2 9 s d W 1 u Q 2 9 1 b n Q m c X V v d D s 6 N y w m c X V v d D t L Z X l D b 2 x 1 b W 5 O Y W 1 l c y Z x d W 9 0 O z p b X S w m c X V v d D t D 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0 l u d m V z d G V y a W 5 n Z W 4 v Q n J v b j w v S X R l b V B h d G g + P C 9 J d G V t T G 9 j Y X R p b 2 4 + P F N 0 Y W J s Z U V u d H J p Z X M v P j w v S X R l b T 4 8 S X R l b T 4 8 S X R l b U x v Y 2 F 0 a W 9 u P j x J d G V t V H l w Z T 5 G b 3 J t d W x h P C 9 J d G V t V H l w Z T 4 8 S X R l b V B h d G g + U 2 V j d G l v b j E v S W 5 2 Z X N 0 Z X J p b m d l b i 9 S R F 9 M T k J f R z w v S X R l b V B h d G g + P C 9 J d G V t T G 9 j Y X R p b 2 4 + P F N 0 Y W J s Z U V u d H J p Z X M v P j w v S X R l b T 4 8 S X R l b T 4 8 S X R l b U x v Y 2 F 0 a W 9 u P j x J d G V t V H l w Z T 5 G b 3 J t d W x h P C 9 J d G V t V H l w Z T 4 8 S X R l b V B h d G g + U 2 V j d G l v b j E v S W 5 2 Z X N 0 Z X J p b m d l b i 9 k Y m 9 f S W 5 2 Z X N 0 Z X J p b m d l b j w v S X R l b V B h d G g + P C 9 J d G V t T G 9 j Y X R p b 2 4 + P F N 0 Y W J s Z U V u d H J p Z X M v P j w v S X R l b T 4 8 S X R l b T 4 8 S X R l b U x v Y 2 F 0 a W 9 u P j x J d G V t V H l w Z T 5 G b 3 J t d W x h P C 9 J d G V t V H l w Z T 4 8 S X R l b V B h d G g + U 2 V j d G l v b j E v S W 5 2 Z X N 0 Z X J p b m d l b i 9 K Y W F y J T N F J T N E M j A y M D w v S X R l b V B h d G g + P C 9 J d G V t T G 9 j Y X R p b 2 4 + P F N 0 Y W J s Z U V u d H J p Z X M v P j w v S X R l b T 4 8 S X R l b T 4 8 S X R l b U x v Y 2 F 0 a W 9 u P j x J d G V t V H l w Z T 5 G b 3 J t d W x h P C 9 J d G V t V H l w Z T 4 8 S X R l b V B h d G g + U 2 V j d G l v b j E v S W 5 2 Z X N 0 Z X J p b m d l b i 9 S a W p l b i U y M G d l Z 3 J v Z X B l Z X J k P C 9 J d G V t U G F 0 a D 4 8 L 0 l 0 Z W 1 M b 2 N h d G l v b j 4 8 U 3 R h Y m x l R W 5 0 c m l l c y 8 + P C 9 J d G V t P j x J d G V t P j x J d G V t T G 9 j Y X R p b 2 4 + P E l 0 Z W 1 U e X B l P k Z v c m 1 1 b G E 8 L 0 l 0 Z W 1 U e X B l P j x J d G V t U G F 0 a D 5 T Z W N 0 a W 9 u M S 9 J b n Z l c 3 R l c m l u Z 2 V u L 1 J p a m V u J T I w Z 2 V z b 3 J 0 Z W V y Z D w v S X R l b V B h d G g + P C 9 J d G V t T G 9 j Y X R p b 2 4 + P F N 0 Y W J s Z U V u d H J p Z X M v P j w v S X R l b T 4 8 S X R l b T 4 8 S X R l b U x v Y 2 F 0 a W 9 u P j x J d G V t V H l w Z T 5 G b 3 J t d W x h P C 9 J d G V t V H l w Z T 4 8 S X R l b V B h d G g + U 2 V j d G l v b j E v S W 5 2 Z X N 0 Z X J p b m d l b i 9 J b m R l e C U y M H R v Z W d l d m 9 l Z 2 Q 8 L 0 l 0 Z W 1 Q Y X R o P j w v S X R l b U x v Y 2 F 0 a W 9 u P j x T d G F i b G V F b n R y a W V z L z 4 8 L 0 l 0 Z W 0 + P E l 0 Z W 0 + P E l 0 Z W 1 M b 2 N h d G l v b j 4 8 S X R l b V R 5 c G U + R m 9 y b X V s Y T w v S X R l b V R 5 c G U + P E l 0 Z W 1 Q Y X R o P l N l Y 3 R p b 2 4 x L 0 l u d m V z d G V y a W 5 n Z W 4 v V m 9 s Z 2 9 y Z G U l M j B 2 Y W 4 l M j B r b 2 x v b W 1 l b i U y M G d l d 2 l q e m l n Z D w v S X R l b V B h d G g + P C 9 J d G V t T G 9 j Y X R p b 2 4 + P F N 0 Y W J s Z U V u d H J p Z X M v P j w v S X R l b T 4 8 S X R l b T 4 8 S X R l b U x v Y 2 F 0 a W 9 u P j x J d G V t V H l w Z T 5 G b 3 J t d W x h P C 9 J d G V t V H l w Z T 4 8 S X R l b V B h d G g + U 2 V j d G l v b j E v R G V z a W 5 2 Z X N 0 Z X J p b m c v Q n J v b j w v S X R l b V B h d G g + P C 9 J d G V t T G 9 j Y X R p b 2 4 + P F N 0 Y W J s Z U V u d H J p Z X M v P j w v S X R l b T 4 8 S X R l b T 4 8 S X R l b U x v Y 2 F 0 a W 9 u P j x J d G V t V H l w Z T 5 G b 3 J t d W x h P C 9 J d G V t V H l w Z T 4 8 S X R l b V B h d G g + U 2 V j d G l v b j E v R G V z a W 5 2 Z X N 0 Z X J p b m c v U k R f T E 5 C X 0 c 8 L 0 l 0 Z W 1 Q Y X R o P j w v S X R l b U x v Y 2 F 0 a W 9 u P j x T d G F i b G V F b n R y a W V z L z 4 8 L 0 l 0 Z W 0 + P E l 0 Z W 0 + P E l 0 Z W 1 M b 2 N h d G l v b j 4 8 S X R l b V R 5 c G U + R m 9 y b X V s Y T w v S X R l b V R 5 c G U + P E l 0 Z W 1 Q Y X R o P l N l Y 3 R p b 2 4 x L 0 R l c 2 l u d m V z d G V y a W 5 n L 2 R i b 1 9 J b n Z l c 3 R l c m l u Z 2 V u P C 9 J d G V t U G F 0 a D 4 8 L 0 l 0 Z W 1 M b 2 N h d G l v b j 4 8 U 3 R h Y m x l R W 5 0 c m l l c y 8 + P C 9 J d G V t P j x J d G V t P j x J d G V t T G 9 j Y X R p b 2 4 + P E l 0 Z W 1 U e X B l P k Z v c m 1 1 b G E 8 L 0 l 0 Z W 1 U e X B l P j x J d G V t U G F 0 a D 5 T Z W N 0 a W 9 u M S 9 E Z X N p b n Z l c 3 R l c m l u Z y 9 S a W p l b i U y M G d l Z m l s d G V y Z D w v S X R l b V B h d G g + P C 9 J d G V t T G 9 j Y X R p b 2 4 + P F N 0 Y W J s Z U V u d H J p Z X M v P j w v S X R l b T 4 8 S X R l b T 4 8 S X R l b U x v Y 2 F 0 a W 9 u P j x J d G V t V H l w Z T 5 G b 3 J t d W x h P C 9 J d G V t V H l w Z T 4 8 S X R l b V B h d G g + U 2 V j d G l v b j E v R G V z a W 5 2 Z X N 0 Z X J p b m c v U m l q Z W 4 l M j B n Z X N v c n R l Z X J k P C 9 J d G V t U G F 0 a D 4 8 L 0 l 0 Z W 1 M b 2 N h d G l v b j 4 8 U 3 R h Y m x l R W 5 0 c m l l c y 8 + P C 9 J d G V t P j x J d G V t P j x J d G V t T G 9 j Y X R p b 2 4 + P E l 0 Z W 1 U e X B l P k Z v c m 1 1 b G E 8 L 0 l 0 Z W 1 U e X B l P j x J d G V t U G F 0 a D 5 T Z W N 0 a W 9 u M S 9 E Z X N p b n Z l c 3 R l c m l u Z y 9 L b 2 x v b W 1 l b i U y M H Z l c n d p a m R l c m Q 8 L 0 l 0 Z W 1 Q Y X R o P j w v S X R l b U x v Y 2 F 0 a W 9 u P j x T d G F i b G V F b n R y a W V z L z 4 8 L 0 l 0 Z W 0 + P E l 0 Z W 0 + P E l 0 Z W 1 M b 2 N h d G l v b j 4 8 S X R l b V R 5 c G U + R m 9 y b X V s Y T w v S X R l b V R 5 c G U + P E l 0 Z W 1 Q Y X R o P l N l Y 3 R p b 2 4 x L 0 R l c 2 l u d m V z d G V y a W 5 n L 0 l u Z G V 4 J T I w d G 9 l Z 2 V 2 b 2 V n Z D w v S X R l b V B h d G g + P C 9 J d G V t T G 9 j Y X R p b 2 4 + P F N 0 Y W J s Z U V u d H J p Z X M v P j w v S X R l b T 4 8 S X R l b T 4 8 S X R l b U x v Y 2 F 0 a W 9 u P j x J d G V t V H l w Z T 5 G b 3 J t d W x h P C 9 J d G V t V H l w Z T 4 8 S X R l b V B h d G g + U 2 V j d G l v b j E v R G V z a W 5 2 Z X N 0 Z X J p b m c v V m 9 s Z 2 9 y Z G U l M j B 2 Y W 4 l M j B r b 2 x v b W 1 l b i U y M G d l d 2 l q e m l n Z D w v S X R l b V B h d G g + P C 9 J d G V t T G 9 j Y X R p b 2 4 + P F N 0 Y W J s Z U V u d H J p Z X M v P j w v S X R l b T 4 8 S X R l b T 4 8 S X R l b U x v Y 2 F 0 a W 9 u P j x J d G V t V H l w Z T 5 G b 3 J t d W x h P C 9 J d G V t V H l w Z T 4 8 S X R l b V B h d G g + U 2 V j d G l v b j E v R G V z a W 5 2 Z X N 0 Z X J p b m c v S 2 9 s b 2 1 t Z W 4 l M j B 2 Z X J 3 a W p k Z X J k M T w v S X R l b V B h d G g + P C 9 J d G V t T G 9 j Y X R p b 2 4 + P F N 0 Y W J s Z U V u d H J p Z X M v P j w v S X R l b T 4 8 S X R l b T 4 8 S X R l b U x v Y 2 F 0 a W 9 u P j x J d G V t V H l w Z T 5 G b 3 J t d W x h P C 9 J d G V t V H l w Z T 4 8 S X R l b V B h d G g + U 2 V j d G l v b j E v R G V z a W 5 2 Z X N 0 Z X J p b m c v V m 9 s Z 2 9 y Z G U l M j B 2 Y W 4 l M j B r b 2 x v b W 1 l b i U y M G d l d 2 l q e m l n Z D E 8 L 0 l 0 Z W 1 Q Y X R o P j w v S X R l b U x v Y 2 F 0 a W 9 u P j x T d G F i b G V F b n R y a W V z L z 4 8 L 0 l 0 Z W 0 + P E l 0 Z W 0 + P E l 0 Z W 1 M b 2 N h d G l v b j 4 8 S X R l b V R 5 c G U + R m 9 y b X V s Y T w v S X R l b V R 5 c G U + P E l 0 Z W 1 Q Y X R o P l N l Y 3 R p b 2 4 x L 0 9 t e m V 0 L 0 J y b 2 4 8 L 0 l 0 Z W 1 Q Y X R o P j w v S X R l b U x v Y 2 F 0 a W 9 u P j x T d G F i b G V F b n R y a W V z L z 4 8 L 0 l 0 Z W 0 + P E l 0 Z W 0 + P E l 0 Z W 1 M b 2 N h d G l v b j 4 8 S X R l b V R 5 c G U + R m 9 y b X V s Y T w v S X R l b V R 5 c G U + P E l 0 Z W 1 Q Y X R o P l N l Y 3 R p b 2 4 x L 0 9 t e m V 0 L 2 R i b 1 9 E Z X N p b n Z l c 3 R l c m l u Z 2 V u P C 9 J d G V t U G F 0 a D 4 8 L 0 l 0 Z W 1 M b 2 N h d G l v b j 4 8 U 3 R h Y m x l R W 5 0 c m l l c y 8 + P C 9 J d G V t P j x J d G V t P j x J d G V t T G 9 j Y X R p b 2 4 + P E l 0 Z W 1 U e X B l P k Z v c m 1 1 b G E 8 L 0 l 0 Z W 1 U e X B l P j x J d G V t U G F 0 a D 5 T Z W N 0 a W 9 u M S 9 P b X p l d C 9 S a W p l b i U y M G d l Z m l s d G V y Z D w v S X R l b V B h d G g + P C 9 J d G V t T G 9 j Y X R p b 2 4 + P F N 0 Y W J s Z U V u d H J p Z X M v P j w v S X R l b T 4 8 S X R l b T 4 8 S X R l b U x v Y 2 F 0 a W 9 u P j x J d G V t V H l w Z T 5 G b 3 J t d W x h P C 9 J d G V t V H l w Z T 4 8 S X R l b V B h d G g + U 2 V j d G l v b j E v T 2 1 6 Z X Q v S 2 9 s b 2 1 t Z W 4 l M j B 2 Z X J 3 a W p k Z X J k P C 9 J d G V t U G F 0 a D 4 8 L 0 l 0 Z W 1 M b 2 N h d G l v b j 4 8 U 3 R h Y m x l R W 5 0 c m l l c y 8 + P C 9 J d G V t P j x J d G V t P j x J d G V t T G 9 j Y X R p b 2 4 + P E l 0 Z W 1 U e X B l P k Z v c m 1 1 b G E 8 L 0 l 0 Z W 1 U e X B l P j x J d G V t U G F 0 a D 5 T Z W N 0 a W 9 u M S 9 P b X p l d C 9 S a W p l b i U y M G d l Z m l s d G V y Z D E 8 L 0 l 0 Z W 1 Q Y X R o P j w v S X R l b U x v Y 2 F 0 a W 9 u P j x T d G F i b G V F b n R y a W V z L z 4 8 L 0 l 0 Z W 0 + P E l 0 Z W 0 + P E l 0 Z W 1 M b 2 N h d G l v b j 4 8 S X R l b V R 5 c G U + R m 9 y b X V s Y T w v S X R l b V R 5 c G U + P E l 0 Z W 1 Q Y X R o P l N l Y 3 R p b 2 4 x L 0 9 t e m V 0 L 0 t v b G 9 t b W V u J T I w d m V y d 2 l q Z G V y Z D E 8 L 0 l 0 Z W 1 Q Y X R o P j w v S X R l b U x v Y 2 F 0 a W 9 u P j x T d G F i b G V F b n R y a W V z L z 4 8 L 0 l 0 Z W 0 + P E l 0 Z W 0 + P E l 0 Z W 1 M b 2 N h d G l v b j 4 8 S X R l b V R 5 c G U + R m 9 y b X V s Y T w v S X R l b V R 5 c G U + P E l 0 Z W 1 Q Y X R o P l N l Y 3 R p b 2 4 x L 1 d V S S U y R k 9 t Y m 9 1 d y 9 C c m 9 u P C 9 J d G V t U G F 0 a D 4 8 L 0 l 0 Z W 1 M b 2 N h d G l v b j 4 8 U 3 R h Y m x l R W 5 0 c m l l c y 8 + P C 9 J d G V t P j x J d G V t P j x J d G V t T G 9 j Y X R p b 2 4 + P E l 0 Z W 1 U e X B l P k Z v c m 1 1 b G E 8 L 0 l 0 Z W 1 U e X B l P j x J d G V t U G F 0 a D 5 T Z W N 0 a W 9 u M S 9 X V U k l M k Z P b W J v d X c v U k R f T E 5 C X 0 c 8 L 0 l 0 Z W 1 Q Y X R o P j w v S X R l b U x v Y 2 F 0 a W 9 u P j x T d G F i b G V F b n R y a W V z L z 4 8 L 0 l 0 Z W 0 + P E l 0 Z W 0 + P E l 0 Z W 1 M b 2 N h d G l v b j 4 8 S X R l b V R 5 c G U + R m 9 y b X V s Y T w v S X R l b V R 5 c G U + P E l 0 Z W 1 Q Y X R o P l N l Y 3 R p b 2 4 x L 1 d V S S U y R k 9 t Y m 9 1 d y 9 k Y m 9 f S W 5 2 Z X N 0 Z X J p b m d l b j w v S X R l b V B h d G g + P C 9 J d G V t T G 9 j Y X R p b 2 4 + P F N 0 Y W J s Z U V u d H J p Z X M v P j w v S X R l b T 4 8 S X R l b T 4 8 S X R l b U x v Y 2 F 0 a W 9 u P j x J d G V t V H l w Z T 5 G b 3 J t d W x h P C 9 J d G V t V H l w Z T 4 8 S X R l b V B h d G g + U 2 V j d G l v b j E v V 1 V J J T J G T 2 1 i b 3 V 3 L 0 p h Y X I l M 0 U l M 0 Q y M D I w P C 9 J d G V t U G F 0 a D 4 8 L 0 l 0 Z W 1 M b 2 N h d G l v b j 4 8 U 3 R h Y m x l R W 5 0 c m l l c y 8 + P C 9 J d G V t P j x J d G V t P j x J d G V t T G 9 j Y X R p b 2 4 + P E l 0 Z W 1 U e X B l P k Z v c m 1 1 b G E 8 L 0 l 0 Z W 1 U e X B l P j x J d G V t U G F 0 a D 5 T Z W N 0 a W 9 u M S 9 X V U k l M k Z P b W J v d X c v U m l q Z W 4 l M j B n Z W Z p b H R l c m Q 8 L 0 l 0 Z W 1 Q Y X R o P j w v S X R l b U x v Y 2 F 0 a W 9 u P j x T d G F i b G V F b n R y a W V z L z 4 8 L 0 l 0 Z W 0 + P E l 0 Z W 0 + P E l 0 Z W 1 M b 2 N h d G l v b j 4 8 S X R l b V R 5 c G U + R m 9 y b X V s Y T w v S X R l b V R 5 c G U + P E l 0 Z W 1 Q Y X R o P l N l Y 3 R p b 2 4 x L 1 d V S S U y R k 9 t Y m 9 1 d y 9 S a W p l b i U y M G d l Z m l s d G V y Z D E 8 L 0 l 0 Z W 1 Q Y X R o P j w v S X R l b U x v Y 2 F 0 a W 9 u P j x T d G F i b G V F b n R y a W V z L z 4 8 L 0 l 0 Z W 0 + P E l 0 Z W 0 + P E l 0 Z W 1 M b 2 N h d G l v b j 4 8 S X R l b V R 5 c G U + R m 9 y b X V s Y T w v S X R l b V R 5 c G U + P E l 0 Z W 1 Q Y X R o P l N l Y 3 R p b 2 4 x L 1 d V S S U y R k 9 t Y m 9 1 d y 9 J b m R l e C U y M H R v Z W d l d m 9 l Z 2 Q 8 L 0 l 0 Z W 1 Q Y X R o P j w v S X R l b U x v Y 2 F 0 a W 9 u P j x T d G F i b G V F b n R y a W V z L z 4 8 L 0 l 0 Z W 0 + P E l 0 Z W 0 + P E l 0 Z W 1 M b 2 N h d G l v b j 4 8 S X R l b V R 5 c G U + R m 9 y b X V s Y T w v S X R l b V R 5 c G U + P E l 0 Z W 1 Q Y X R o P l N l Y 3 R p b 2 4 x L 1 d V S S U y R k 9 t Y m 9 1 d y 9 W b 2 x n b 3 J k Z S U y M H Z h b i U y M G t v b G 9 t b W V u J T I w Z 2 V 3 a W p 6 a W d k P C 9 J d G V t U G F 0 a D 4 8 L 0 l 0 Z W 1 M b 2 N h d G l v b j 4 8 U 3 R h Y m x l R W 5 0 c m l l c y 8 + P C 9 J d G V t P j x J d G V t P j x J d G V t T G 9 j Y X R p b 2 4 + P E l 0 Z W 1 U e X B l P k Z v c m 1 1 b G E 8 L 0 l 0 Z W 1 U e X B l P j x J d G V t U G F 0 a D 5 T Z W N 0 a W 9 u M S 9 X V U k l M k Z P b W J v d X c v S 2 9 s b 2 1 t Z W 4 l M j B 2 Z X J 3 a W p k Z X J k P C 9 J d G V t U G F 0 a D 4 8 L 0 l 0 Z W 1 M b 2 N h d G l v b j 4 8 U 3 R h Y m x l R W 5 0 c m l l c y 8 + P C 9 J d G V t P j x J d G V t P j x J d G V t T G 9 j Y X R p b 2 4 + P E l 0 Z W 1 U e X B l P k Z v c m 1 1 b G E 8 L 0 l 0 Z W 1 U e X B l P j x J d G V t U G F 0 a D 5 T Z W N 0 a W 9 u M S 9 P c G V y Y X R p b 2 5 l b G U l M j B r b 3 N 0 Z W 4 v Q n J v b j w v S X R l b V B h d G g + P C 9 J d G V t T G 9 j Y X R p b 2 4 + P F N 0 Y W J s Z U V u d H J p Z X M v P j w v S X R l b T 4 8 S X R l b T 4 8 S X R l b U x v Y 2 F 0 a W 9 u P j x J d G V t V H l w Z T 5 G b 3 J t d W x h P C 9 J d G V t V H l w Z T 4 8 S X R l b V B h d G g + U 2 V j d G l v b j E v T 3 B l c m F 0 a W 9 u Z W x l J T I w a 2 9 z d G V u L 1 J E X 0 x O Q l 9 H P C 9 J d G V t U G F 0 a D 4 8 L 0 l 0 Z W 1 M b 2 N h d G l v b j 4 8 U 3 R h Y m x l R W 5 0 c m l l c y 8 + P C 9 J d G V t P j x J d G V t P j x J d G V t T G 9 j Y X R p b 2 4 + P E l 0 Z W 1 U e X B l P k Z v c m 1 1 b G E 8 L 0 l 0 Z W 1 U e X B l P j x J d G V t U G F 0 a D 5 T Z W N 0 a W 9 u M S 9 P c G V y Y X R p b 2 5 l b G U l M j B r b 3 N 0 Z W 4 v Z G J v X 0 9 w Z X J h d G l v b m V s Z S U y M G t v c 3 R l b j w v S X R l b V B h d G g + P C 9 J d G V t T G 9 j Y X R p b 2 4 + P F N 0 Y W J s Z U V u d H J p Z X M v P j w v S X R l b T 4 8 S X R l b T 4 8 S X R l b U x v Y 2 F 0 a W 9 u P j x J d G V t V H l w Z T 5 G b 3 J t d W x h P C 9 J d G V t V H l w Z T 4 8 S X R l b V B h d G g + U 2 V j d G l v b j E v T 3 B l c m F 0 a W 9 u Z W x l J T I w a 2 9 z d G V u L 0 t v b G 9 t b W V u J T I w d m V y d 2 l q Z G V y Z D w v S X R l b V B h d G g + P C 9 J d G V t T G 9 j Y X R p b 2 4 + P F N 0 Y W J s Z U V u d H J p Z X M v P j w v S X R l b T 4 8 S X R l b T 4 8 S X R l b U x v Y 2 F 0 a W 9 u P j x J d G V t V H l w Z T 5 G b 3 J t d W x h P C 9 J d G V t V H l w Z T 4 8 S X R l b V B h d G g + U 2 V j d G l v b j E v S W 5 2 Z X N 0 Z X J p b m d l b i 9 B Y W 5 n Z X B h c 3 Q x P C 9 J d G V t U G F 0 a D 4 8 L 0 l 0 Z W 1 M b 2 N h d G l v b j 4 8 U 3 R h Y m x l R W 5 0 c m l l c y 8 + P C 9 J d G V t P j x J d G V t P j x J d G V t T G 9 j Y X R p b 2 4 + P E l 0 Z W 1 U e X B l P k Z v c m 1 1 b G E 8 L 0 l 0 Z W 1 U e X B l P j x J d G V t U G F 0 a D 5 T Z W N 0 a W 9 u M S 9 J b n Z l c 3 R l c m l u Z 2 V u L 0 F h b m d l c G F z d D I 8 L 0 l 0 Z W 1 Q Y X R o P j w v S X R l b U x v Y 2 F 0 a W 9 u P j x T d G F i b G V F b n R y a W V z L z 4 8 L 0 l 0 Z W 0 + P E l 0 Z W 0 + P E l 0 Z W 1 M b 2 N h d G l v b j 4 8 S X R l b V R 5 c G U + R m 9 y b X V s Y T w v S X R l b V R 5 c G U + P E l 0 Z W 1 Q Y X R o P l N l Y 3 R p b 2 4 x L 0 9 w Z X J h d G l v b m V s Z S U y M G t v c 3 R l b i 9 S a W p l b i U y M G d l Z m l s d G V y Z D w v S X R l b V B h d G g + P C 9 J d G V t T G 9 j Y X R p b 2 4 + P F N 0 Y W J s Z U V u d H J p Z X M v P j w v S X R l b T 4 8 S X R l b T 4 8 S X R l b U x v Y 2 F 0 a W 9 u P j x J d G V t V H l w Z T 5 G b 3 J t d W x h P C 9 J d G V t V H l w Z T 4 8 S X R l b V B h d G g + U 2 V j d G l v b j E v S W 5 2 Z X N 0 Z X J p b m d l b i 9 B Y W 5 n Z X B h c 3 Q z P C 9 J d G V t U G F 0 a D 4 8 L 0 l 0 Z W 1 M b 2 N h d G l v b j 4 8 U 3 R h Y m x l R W 5 0 c m l l c y 8 + P C 9 J d G V t P j x J d G V t P j x J d G V t T G 9 j Y X R p b 2 4 + P E l 0 Z W 1 U e X B l P k Z v c m 1 1 b G E 8 L 0 l 0 Z W 1 U e X B l P j x J d G V t U G F 0 a D 5 T Z W N 0 a W 9 u M S 9 X V U k l M k Z P b W J v d X c v Q W F u Z 2 V w Y X N 0 M T w v S X R l b V B h d G g + P C 9 J d G V t T G 9 j Y X R p b 2 4 + P F N 0 Y W J s Z U V u d H J p Z X M v P j w v S X R l b T 4 8 S X R l b T 4 8 S X R l b U x v Y 2 F 0 a W 9 u P j x J d G V t V H l w Z T 5 G b 3 J t d W x h P C 9 J d G V t V H l w Z T 4 8 S X R l b V B h d G g + U 2 V j d G l v b j E v R G V z a W 5 2 Z X N 0 Z X J p b m c v Q W F u Z 2 V w Y X N 0 M T w v S X R l b V B h d G g + P C 9 J d G V t T G 9 j Y X R p b 2 4 + P F N 0 Y W J s Z U V u d H J p Z X M v P j w v S X R l b T 4 8 S X R l b T 4 8 S X R l b U x v Y 2 F 0 a W 9 u P j x J d G V t V H l w Z T 5 G b 3 J t d W x h P C 9 J d G V t V H l w Z T 4 8 S X R l b V B h d G g + U 2 V j d G l v b j E v R G V z a W 5 2 Z X N 0 Z X J p b m c v Q W F u Z 2 V w Y X N 0 M j 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f u 2 d 5 q 0 k 4 k q Y 8 Y S D e R L M X Q A A A A A C A A A A A A A D Z g A A w A A A A B A A A A B T B 6 B + Z z B J U W R N h t d J 2 G x M A A A A A A S A A A C g A A A A E A A A A K y t W h C E O O E o V e 3 T V A v 2 N R J Q A A A A n E s E c 2 w y H x s Y 6 f 0 I R 6 f q Z F + X + 4 9 q R 2 N y / q b 9 t t m g G T O B B h t S R U n T i v b i a d 1 L X Q c I 5 2 E D x a l y t I Q f o u 9 3 z L t L i 5 M Z o H a 3 D x s N Y T M 4 S 1 I c E 5 Y U A A A A w D s H V I L m 1 b R Z 3 H D 0 k 6 y R v I / 0 b c w = < / D a t a M a s h u p > 
</file>

<file path=customXml/item3.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VYM6E4WDAQJW-2075224733-404</_dlc_DocId>
    <_dlc_DocIdUrl xmlns="0009d3ae-0f9e-47be-ae31-9d6cd8b104c4">
      <Url>https://gasunie.sharepoint.com/sites/20190841/_layouts/15/DocIdRedir.aspx?ID=VYM6E4WDAQJW-2075224733-404</Url>
      <Description>VYM6E4WDAQJW-2075224733-404</Description>
    </_dlc_DocIdUrl>
    <lcf76f155ced4ddcb4097134ff3c332f xmlns="3e5b727e-69cb-4044-af9b-0f4416983337">
      <Terms xmlns="http://schemas.microsoft.com/office/infopath/2007/PartnerControls"/>
    </lcf76f155ced4ddcb4097134ff3c332f>
    <TaxCatchAll xmlns="0009d3ae-0f9e-47be-ae31-9d6cd8b104c4"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3863C0D5DF1569489DA8D6B8968D8636" ma:contentTypeVersion="13" ma:contentTypeDescription="Een nieuw document maken." ma:contentTypeScope="" ma:versionID="c1a598989abd97b76b2741a01e29de51">
  <xsd:schema xmlns:xsd="http://www.w3.org/2001/XMLSchema" xmlns:xs="http://www.w3.org/2001/XMLSchema" xmlns:p="http://schemas.microsoft.com/office/2006/metadata/properties" xmlns:ns2="0009d3ae-0f9e-47be-ae31-9d6cd8b104c4" xmlns:ns3="3e5b727e-69cb-4044-af9b-0f4416983337" targetNamespace="http://schemas.microsoft.com/office/2006/metadata/properties" ma:root="true" ma:fieldsID="eae650d0b75db028cf42fdca61613b6a" ns2:_="" ns3:_="">
    <xsd:import namespace="0009d3ae-0f9e-47be-ae31-9d6cd8b104c4"/>
    <xsd:import namespace="3e5b727e-69cb-4044-af9b-0f441698333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0982e7f-14e0-4d29-b563-36232763a49b}" ma:internalName="TaxCatchAll" ma:showField="CatchAllData" ma:web="0009d3ae-0f9e-47be-ae31-9d6cd8b104c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5b727e-69cb-4044-af9b-0f441698333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2.xml><?xml version="1.0" encoding="utf-8"?>
<ds:datastoreItem xmlns:ds="http://schemas.openxmlformats.org/officeDocument/2006/customXml" ds:itemID="{3CCC0C11-BCA0-40B0-A1EB-00F8BE4AEEA8}">
  <ds:schemaRefs>
    <ds:schemaRef ds:uri="http://schemas.microsoft.com/DataMashup"/>
  </ds:schemaRefs>
</ds:datastoreItem>
</file>

<file path=customXml/itemProps3.xml><?xml version="1.0" encoding="utf-8"?>
<ds:datastoreItem xmlns:ds="http://schemas.openxmlformats.org/officeDocument/2006/customXml" ds:itemID="{9CDAB9D1-B815-4B0E-93E7-4496A7FE99F6}">
  <ds:schemaRefs>
    <ds:schemaRef ds:uri="http://purl.org/dc/terms/"/>
    <ds:schemaRef ds:uri="http://schemas.microsoft.com/office/2006/metadata/properties"/>
    <ds:schemaRef ds:uri="http://schemas.microsoft.com/office/2006/documentManagement/types"/>
    <ds:schemaRef ds:uri="http://www.w3.org/XML/1998/namespace"/>
    <ds:schemaRef ds:uri="0009d3ae-0f9e-47be-ae31-9d6cd8b104c4"/>
    <ds:schemaRef ds:uri="http://purl.org/dc/elements/1.1/"/>
    <ds:schemaRef ds:uri="http://schemas.openxmlformats.org/package/2006/metadata/core-properties"/>
    <ds:schemaRef ds:uri="3e5b727e-69cb-4044-af9b-0f4416983337"/>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5.xml><?xml version="1.0" encoding="utf-8"?>
<ds:datastoreItem xmlns:ds="http://schemas.openxmlformats.org/officeDocument/2006/customXml" ds:itemID="{ED97B488-9A1B-446A-A3D1-8C437C8C9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3e5b727e-69cb-4044-af9b-0f4416983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Entry- en exittarieven</vt:lpstr>
      <vt:lpstr>Input --&gt;</vt:lpstr>
      <vt:lpstr>2. Parameters</vt:lpstr>
      <vt:lpstr>3. Input nacalculaties</vt:lpstr>
      <vt:lpstr>4. Input capaciteit</vt:lpstr>
      <vt:lpstr>Berekeningen --&gt;</vt:lpstr>
      <vt:lpstr>5. Nacalculaties</vt:lpstr>
      <vt:lpstr>6. Toegestane inkomsten</vt:lpstr>
      <vt:lpstr>7. RPM</vt:lpstr>
      <vt:lpstr>8.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2024-05-29T16:39:40Z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0x0101003863C0D5DF1569489DA8D6B8968D8636</vt:lpwstr>
  </property>
  <property fmtid="{D5CDD505-2E9C-101B-9397-08002B2CF9AE}" pid="3" name="_dlc_DocIdItemGuid">
    <vt:lpwstr>4e624851-0a20-46f2-82ef-178ed4244102</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2024-02-01T15:00:52Z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ae909abd-91bd-4b8f-b457-48076b0c7e11</vt:lpwstr>
  </property>
  <property fmtid="{D5CDD505-2E9C-101B-9397-08002B2CF9AE}" pid="15" name="MSIP_Label_46c7e985-2b29-4bdc-86bb-c9dfef2a8a5c_ContentBits">
    <vt:lpwstr>2</vt:lpwstr>
  </property>
</Properties>
</file>