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07FD2189-169E-4781-B531-10BBC858DFA9}" xr6:coauthVersionLast="47" xr6:coauthVersionMax="47" xr10:uidLastSave="{00000000-0000-0000-0000-000000000000}"/>
  <bookViews>
    <workbookView xWindow="-120" yWindow="-120" windowWidth="51840" windowHeight="21240" tabRatio="942" xr2:uid="{00000000-000D-0000-FFFF-FFFF00000000}"/>
  </bookViews>
  <sheets>
    <sheet name="1. Entry- en exittarieven" sheetId="21" r:id="rId1"/>
    <sheet name="Input --&gt;" sheetId="13" r:id="rId2"/>
    <sheet name="2. Parameters" sheetId="24" r:id="rId3"/>
    <sheet name="3. Input nacalculaties" sheetId="59" r:id="rId4"/>
    <sheet name="4. Input capaciteit" sheetId="35" r:id="rId5"/>
    <sheet name="Berekeningen --&gt;" sheetId="15" r:id="rId6"/>
    <sheet name="5. Nacalculaties" sheetId="25" r:id="rId7"/>
    <sheet name="6. Toegestane inkomsten" sheetId="32" r:id="rId8"/>
    <sheet name="7. RPM" sheetId="34" r:id="rId9"/>
    <sheet name="8. Entry- en exittarieven " sheetId="36" r:id="rId10"/>
  </sheet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#REF!</definedName>
    <definedName name="afd">#REF!</definedName>
    <definedName name="afdtennet">#REF!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#REF!</definedName>
    <definedName name="DF_GRID_3">#REF!</definedName>
    <definedName name="ee">#REF!</definedName>
    <definedName name="eeee">#REF!</definedName>
    <definedName name="Eigenaar">#REF!</definedName>
    <definedName name="eur">#REF!</definedName>
    <definedName name="factor">#REF!</definedName>
    <definedName name="fik">#REF!</definedName>
    <definedName name="Financiering">#REF!</definedName>
    <definedName name="Jaar">#REF!</definedName>
    <definedName name="Kwartaal">#REF!</definedName>
    <definedName name="METHODE">#REF!</definedName>
    <definedName name="Naam">#REF!</definedName>
    <definedName name="NAAM_NE">#REF!</definedName>
    <definedName name="NAAM_VOL">#REF!</definedName>
    <definedName name="omzet_2000_aanpas_kolom">#REF!</definedName>
    <definedName name="omzet_2000_kolom">#REF!</definedName>
    <definedName name="omzet_2001_kolom">#REF!</definedName>
    <definedName name="PB">#REF!</definedName>
    <definedName name="PC">#REF!</definedName>
    <definedName name="PGcode">#REF!</definedName>
    <definedName name="PLAATS">#REF!</definedName>
    <definedName name="PR_ME_2000">#REF!</definedName>
    <definedName name="Projecteigenaar">#REF!</definedName>
    <definedName name="Projectleider">#REF!</definedName>
    <definedName name="Regio">#REF!</definedName>
    <definedName name="required_x">#REF!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#REF!</definedName>
    <definedName name="test">#REF!</definedName>
    <definedName name="TEST0">#REF!</definedName>
    <definedName name="TESTHKEY">#REF!</definedName>
    <definedName name="TESTKEYS">#REF!</definedName>
    <definedName name="TESTVKEY">#REF!</definedName>
    <definedName name="TIPROJ">#REF!</definedName>
    <definedName name="TTTI">#REF!</definedName>
    <definedName name="VerbruikstarRC">#REF!</definedName>
    <definedName name="wac">#REF!</definedName>
    <definedName name="wacc">#REF!</definedName>
    <definedName name="wacc_exc_tax">#REF!</definedName>
    <definedName name="wacc_inc_tax">#REF!</definedName>
    <definedName name="WvD">#REF!</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5" l="1"/>
  <c r="J36" i="25" s="1"/>
  <c r="J24" i="59"/>
  <c r="J25" i="59"/>
  <c r="J41" i="25" l="1"/>
  <c r="J34" i="25"/>
  <c r="J29" i="25"/>
  <c r="J24" i="25"/>
  <c r="J17" i="25"/>
  <c r="M18" i="34" l="1"/>
  <c r="M15" i="34"/>
  <c r="M16" i="34"/>
  <c r="M12" i="34"/>
  <c r="M13" i="34"/>
  <c r="J16" i="25"/>
  <c r="J18" i="25" l="1"/>
  <c r="J19" i="25" s="1"/>
  <c r="Q20" i="24" l="1"/>
  <c r="F77" i="36" l="1"/>
  <c r="F78" i="36" s="1"/>
  <c r="F79" i="36" l="1"/>
  <c r="O18" i="24"/>
  <c r="N17" i="24"/>
  <c r="O17" i="24" s="1"/>
  <c r="M16" i="24"/>
  <c r="N16" i="24" s="1"/>
  <c r="O16" i="24" s="1"/>
  <c r="L15" i="24"/>
  <c r="M15" i="24" s="1"/>
  <c r="N15" i="24" s="1"/>
  <c r="O15" i="24" s="1"/>
  <c r="P19" i="24"/>
  <c r="Q19" i="24" s="1"/>
  <c r="P15" i="24" l="1"/>
  <c r="Q15" i="24" s="1"/>
  <c r="P16" i="24"/>
  <c r="Q16" i="24" s="1"/>
  <c r="P18" i="24"/>
  <c r="Q18" i="24" s="1"/>
  <c r="P17" i="24"/>
  <c r="Q17" i="24" s="1"/>
  <c r="F22" i="34" l="1"/>
  <c r="F94" i="24" l="1"/>
  <c r="F100" i="24"/>
  <c r="F101" i="24" s="1"/>
  <c r="F72" i="36" l="1"/>
  <c r="F53" i="36"/>
  <c r="F54" i="36"/>
  <c r="F55" i="36"/>
  <c r="F56" i="36"/>
  <c r="F57" i="36"/>
  <c r="F58" i="36"/>
  <c r="F59" i="36"/>
  <c r="F60" i="36"/>
  <c r="F61" i="36"/>
  <c r="F62" i="36"/>
  <c r="F63" i="36"/>
  <c r="F52" i="36"/>
  <c r="F39" i="36"/>
  <c r="F40" i="36"/>
  <c r="F41" i="36"/>
  <c r="F42" i="36"/>
  <c r="F43" i="36"/>
  <c r="F44" i="36"/>
  <c r="F45" i="36"/>
  <c r="F46" i="36"/>
  <c r="F47" i="36"/>
  <c r="F48" i="36"/>
  <c r="F49" i="36"/>
  <c r="F38" i="36"/>
  <c r="F25" i="36"/>
  <c r="F26" i="36"/>
  <c r="F27" i="36"/>
  <c r="F28" i="36"/>
  <c r="F29" i="36"/>
  <c r="F30" i="36"/>
  <c r="F31" i="36"/>
  <c r="F32" i="36"/>
  <c r="F33" i="36"/>
  <c r="F34" i="36"/>
  <c r="F35" i="36"/>
  <c r="F24" i="36"/>
  <c r="F19" i="36"/>
  <c r="F20" i="36"/>
  <c r="F21" i="36"/>
  <c r="F18" i="36"/>
  <c r="F13" i="36"/>
  <c r="F14" i="36"/>
  <c r="F15" i="36"/>
  <c r="F12" i="36"/>
  <c r="F25" i="34"/>
  <c r="F21" i="34"/>
  <c r="J12" i="25" l="1"/>
  <c r="F96" i="24" l="1"/>
  <c r="F69" i="36" s="1"/>
  <c r="F95" i="24"/>
  <c r="F68" i="36" s="1"/>
  <c r="F67" i="36"/>
  <c r="F93" i="24"/>
  <c r="F66" i="36" s="1"/>
  <c r="F26" i="24"/>
  <c r="F26" i="34" s="1"/>
  <c r="F74" i="36" l="1"/>
  <c r="F73" i="36"/>
  <c r="K12" i="25"/>
  <c r="L12" i="25" l="1"/>
  <c r="L37" i="25" s="1"/>
  <c r="M14" i="32" l="1"/>
  <c r="L25" i="25"/>
  <c r="M12" i="32" s="1"/>
  <c r="L42" i="25"/>
  <c r="M15" i="32" s="1"/>
  <c r="L30" i="25"/>
  <c r="M13" i="32" s="1"/>
  <c r="L20" i="25"/>
  <c r="M11" i="32" s="1"/>
  <c r="M19" i="32" l="1"/>
  <c r="M30" i="34" s="1"/>
  <c r="M32" i="34" s="1"/>
  <c r="M33" i="34" l="1"/>
  <c r="M37" i="34" l="1"/>
  <c r="M50" i="34"/>
  <c r="M38" i="34" l="1"/>
  <c r="M43" i="34"/>
  <c r="M45" i="34"/>
  <c r="M46" i="34"/>
  <c r="M42" i="34"/>
  <c r="F87" i="36" l="1"/>
  <c r="F86" i="36"/>
  <c r="F84" i="36"/>
  <c r="M44" i="34"/>
  <c r="M51" i="34" s="1"/>
  <c r="M53" i="34" s="1"/>
  <c r="F83" i="36"/>
  <c r="F85" i="36" l="1"/>
  <c r="H146" i="36"/>
  <c r="R157" i="36" l="1"/>
  <c r="P156" i="36"/>
  <c r="R155" i="36"/>
  <c r="R154" i="36"/>
  <c r="P153" i="36"/>
  <c r="R152" i="36"/>
  <c r="R151" i="36"/>
  <c r="P150" i="36"/>
  <c r="R149" i="36"/>
  <c r="R148" i="36"/>
  <c r="P147" i="36"/>
  <c r="R146" i="36"/>
  <c r="N146" i="36"/>
  <c r="Q157" i="36"/>
  <c r="Q155" i="36"/>
  <c r="Q154" i="36"/>
  <c r="Q152" i="36"/>
  <c r="Q151" i="36"/>
  <c r="Q149" i="36"/>
  <c r="Q148" i="36"/>
  <c r="Q146" i="36"/>
  <c r="P157" i="36"/>
  <c r="R156" i="36"/>
  <c r="P155" i="36"/>
  <c r="P154" i="36"/>
  <c r="R153" i="36"/>
  <c r="P152" i="36"/>
  <c r="P151" i="36"/>
  <c r="R150" i="36"/>
  <c r="P149" i="36"/>
  <c r="P148" i="36"/>
  <c r="R147" i="36"/>
  <c r="P146" i="36"/>
  <c r="Q156" i="36"/>
  <c r="O155" i="36"/>
  <c r="Q153" i="36"/>
  <c r="O152" i="36"/>
  <c r="Q150" i="36"/>
  <c r="O149" i="36"/>
  <c r="Q147" i="36"/>
  <c r="O146" i="36"/>
  <c r="K157" i="36"/>
  <c r="L155" i="36"/>
  <c r="K154" i="36"/>
  <c r="L152" i="36"/>
  <c r="K151" i="36"/>
  <c r="L149" i="36"/>
  <c r="K148" i="36"/>
  <c r="I146" i="36"/>
  <c r="J157" i="36"/>
  <c r="L156" i="36"/>
  <c r="K155" i="36"/>
  <c r="J154" i="36"/>
  <c r="L153" i="36"/>
  <c r="K152" i="36"/>
  <c r="J151" i="36"/>
  <c r="L150" i="36"/>
  <c r="K149" i="36"/>
  <c r="J148" i="36"/>
  <c r="L147" i="36"/>
  <c r="L146" i="36"/>
  <c r="K156" i="36"/>
  <c r="J155" i="36"/>
  <c r="K153" i="36"/>
  <c r="J152" i="36"/>
  <c r="K150" i="36"/>
  <c r="J149" i="36"/>
  <c r="K147" i="36"/>
  <c r="K146" i="36"/>
  <c r="L157" i="36"/>
  <c r="J156" i="36"/>
  <c r="I155" i="36"/>
  <c r="L154" i="36"/>
  <c r="J153" i="36"/>
  <c r="I152" i="36"/>
  <c r="L151" i="36"/>
  <c r="J150" i="36"/>
  <c r="I149" i="36"/>
  <c r="L148" i="36"/>
  <c r="J147" i="36"/>
  <c r="J146" i="36"/>
  <c r="L113" i="36"/>
  <c r="L35" i="21" s="1"/>
  <c r="J115" i="36"/>
  <c r="J37" i="21" s="1"/>
  <c r="L119" i="36"/>
  <c r="L41" i="21" s="1"/>
  <c r="L122" i="36"/>
  <c r="L44" i="21" s="1"/>
  <c r="L111" i="36"/>
  <c r="L33" i="21" s="1"/>
  <c r="K121" i="36"/>
  <c r="K43" i="21" s="1"/>
  <c r="J122" i="36"/>
  <c r="J44" i="21" s="1"/>
  <c r="K117" i="36"/>
  <c r="K39" i="21" s="1"/>
  <c r="J118" i="36"/>
  <c r="J40" i="21" s="1"/>
  <c r="J113" i="36"/>
  <c r="J35" i="21" s="1"/>
  <c r="J112" i="36"/>
  <c r="J34" i="21" s="1"/>
  <c r="H67" i="21"/>
  <c r="L118" i="36"/>
  <c r="L40" i="21" s="1"/>
  <c r="K122" i="36"/>
  <c r="K44" i="21" s="1"/>
  <c r="J121" i="36"/>
  <c r="J43" i="21" s="1"/>
  <c r="K114" i="36"/>
  <c r="K36" i="21" s="1"/>
  <c r="J116" i="36"/>
  <c r="J38" i="21" s="1"/>
  <c r="I114" i="36"/>
  <c r="I36" i="21" s="1"/>
  <c r="K112" i="36"/>
  <c r="K34" i="21" s="1"/>
  <c r="J114" i="36"/>
  <c r="J36" i="21" s="1"/>
  <c r="K116" i="36"/>
  <c r="K38" i="21" s="1"/>
  <c r="J117" i="36"/>
  <c r="J39" i="21" s="1"/>
  <c r="J111" i="36"/>
  <c r="J33" i="21" s="1"/>
  <c r="L115" i="36"/>
  <c r="L37" i="21" s="1"/>
  <c r="I117" i="36"/>
  <c r="I39" i="21" s="1"/>
  <c r="J120" i="36"/>
  <c r="J42" i="21" s="1"/>
  <c r="L121" i="36"/>
  <c r="L43" i="21" s="1"/>
  <c r="K115" i="36"/>
  <c r="K37" i="21" s="1"/>
  <c r="L114" i="36"/>
  <c r="L36" i="21" s="1"/>
  <c r="K120" i="36"/>
  <c r="K42" i="21" s="1"/>
  <c r="L120" i="36"/>
  <c r="L42" i="21" s="1"/>
  <c r="K113" i="36"/>
  <c r="K35" i="21" s="1"/>
  <c r="L116" i="36"/>
  <c r="L38" i="21" s="1"/>
  <c r="K118" i="36"/>
  <c r="K40" i="21" s="1"/>
  <c r="L117" i="36"/>
  <c r="L39" i="21" s="1"/>
  <c r="J119" i="36"/>
  <c r="J41" i="21" s="1"/>
  <c r="I111" i="36"/>
  <c r="I33" i="21" s="1"/>
  <c r="K111" i="36"/>
  <c r="K33" i="21" s="1"/>
  <c r="I120" i="36"/>
  <c r="I42" i="21" s="1"/>
  <c r="L112" i="36"/>
  <c r="L34" i="21" s="1"/>
  <c r="K119" i="36"/>
  <c r="K41" i="21" s="1"/>
  <c r="H111" i="36"/>
  <c r="H33" i="21" s="1"/>
  <c r="T129" i="36"/>
  <c r="U93" i="36"/>
  <c r="U16" i="21" s="1"/>
  <c r="X93" i="36"/>
  <c r="X16" i="21" s="1"/>
  <c r="R104" i="36"/>
  <c r="R27" i="21" s="1"/>
  <c r="R102" i="36"/>
  <c r="R25" i="21" s="1"/>
  <c r="Q132" i="36"/>
  <c r="Q98" i="36"/>
  <c r="Q21" i="21" s="1"/>
  <c r="P99" i="36"/>
  <c r="P22" i="21" s="1"/>
  <c r="R132" i="36"/>
  <c r="O93" i="36"/>
  <c r="O16" i="21" s="1"/>
  <c r="O138" i="36"/>
  <c r="R99" i="36"/>
  <c r="R22" i="21" s="1"/>
  <c r="Q102" i="36"/>
  <c r="Q25" i="21" s="1"/>
  <c r="R97" i="36"/>
  <c r="R20" i="21" s="1"/>
  <c r="Q138" i="36"/>
  <c r="O99" i="36"/>
  <c r="O22" i="21" s="1"/>
  <c r="R101" i="36"/>
  <c r="R24" i="21" s="1"/>
  <c r="P138" i="36"/>
  <c r="Q101" i="36"/>
  <c r="Q24" i="21" s="1"/>
  <c r="P131" i="36"/>
  <c r="Q96" i="36"/>
  <c r="Q19" i="21" s="1"/>
  <c r="P136" i="36"/>
  <c r="O135" i="36"/>
  <c r="Q134" i="36"/>
  <c r="P102" i="36"/>
  <c r="P25" i="21" s="1"/>
  <c r="Q133" i="36"/>
  <c r="P139" i="36"/>
  <c r="Q97" i="36"/>
  <c r="Q20" i="21" s="1"/>
  <c r="Q130" i="36"/>
  <c r="P129" i="36"/>
  <c r="R94" i="36"/>
  <c r="R17" i="21" s="1"/>
  <c r="N129" i="36"/>
  <c r="Q135" i="36"/>
  <c r="O96" i="36"/>
  <c r="O19" i="21" s="1"/>
  <c r="Q104" i="36"/>
  <c r="Q27" i="21" s="1"/>
  <c r="P133" i="36"/>
  <c r="P132" i="36"/>
  <c r="R98" i="36"/>
  <c r="R21" i="21" s="1"/>
  <c r="Q129" i="36"/>
  <c r="R129" i="36"/>
  <c r="R131" i="36"/>
  <c r="R134" i="36"/>
  <c r="R122" i="36"/>
  <c r="R44" i="21" s="1"/>
  <c r="P116" i="36"/>
  <c r="P38" i="21" s="1"/>
  <c r="O114" i="36"/>
  <c r="O36" i="21" s="1"/>
  <c r="O111" i="36"/>
  <c r="O33" i="21" s="1"/>
  <c r="P111" i="36"/>
  <c r="P33" i="21" s="1"/>
  <c r="P114" i="36"/>
  <c r="P36" i="21" s="1"/>
  <c r="P121" i="36"/>
  <c r="P43" i="21" s="1"/>
  <c r="R116" i="36"/>
  <c r="R38" i="21" s="1"/>
  <c r="N111" i="36"/>
  <c r="N33" i="21" s="1"/>
  <c r="P118" i="36"/>
  <c r="P40" i="21" s="1"/>
  <c r="Q120" i="36"/>
  <c r="Q42" i="21" s="1"/>
  <c r="Q116" i="36"/>
  <c r="Q38" i="21" s="1"/>
  <c r="Q113" i="36"/>
  <c r="Q35" i="21" s="1"/>
  <c r="Q111" i="36"/>
  <c r="Q33" i="21" s="1"/>
  <c r="Q122" i="36"/>
  <c r="Q44" i="21" s="1"/>
  <c r="R112" i="36"/>
  <c r="R34" i="21" s="1"/>
  <c r="P122" i="36"/>
  <c r="P44" i="21" s="1"/>
  <c r="R119" i="36"/>
  <c r="R41" i="21" s="1"/>
  <c r="O120" i="36"/>
  <c r="O42" i="21" s="1"/>
  <c r="Q118" i="36"/>
  <c r="Q40" i="21" s="1"/>
  <c r="Q121" i="36"/>
  <c r="Q43" i="21" s="1"/>
  <c r="P112" i="36"/>
  <c r="P34" i="21" s="1"/>
  <c r="O117" i="36"/>
  <c r="O39" i="21" s="1"/>
  <c r="Q114" i="36"/>
  <c r="Q36" i="21" s="1"/>
  <c r="R113" i="36"/>
  <c r="R35" i="21" s="1"/>
  <c r="Q115" i="36"/>
  <c r="Q37" i="21" s="1"/>
  <c r="Q119" i="36"/>
  <c r="Q41" i="21" s="1"/>
  <c r="R120" i="36"/>
  <c r="R42" i="21" s="1"/>
  <c r="P115" i="36"/>
  <c r="P37" i="21" s="1"/>
  <c r="Q117" i="36"/>
  <c r="Q39" i="21" s="1"/>
  <c r="P119" i="36"/>
  <c r="P41" i="21" s="1"/>
  <c r="Q112" i="36"/>
  <c r="Q34" i="21" s="1"/>
  <c r="R121" i="36"/>
  <c r="R43" i="21" s="1"/>
  <c r="P120" i="36"/>
  <c r="P42" i="21" s="1"/>
  <c r="P113" i="36"/>
  <c r="P35" i="21" s="1"/>
  <c r="R115" i="36"/>
  <c r="R37" i="21" s="1"/>
  <c r="R114" i="36"/>
  <c r="R36" i="21" s="1"/>
  <c r="R111" i="36"/>
  <c r="R33" i="21" s="1"/>
  <c r="R118" i="36"/>
  <c r="R40" i="21" s="1"/>
  <c r="P117" i="36"/>
  <c r="P39" i="21" s="1"/>
  <c r="R117" i="36"/>
  <c r="R39" i="21" s="1"/>
  <c r="X100" i="36"/>
  <c r="X23" i="21" s="1"/>
  <c r="W132" i="36"/>
  <c r="U129" i="36"/>
  <c r="X140" i="36"/>
  <c r="V139" i="36"/>
  <c r="U102" i="36"/>
  <c r="U25" i="21" s="1"/>
  <c r="X94" i="36"/>
  <c r="X17" i="21" s="1"/>
  <c r="W97" i="36"/>
  <c r="W20" i="21" s="1"/>
  <c r="W135" i="36"/>
  <c r="W95" i="36"/>
  <c r="W18" i="21" s="1"/>
  <c r="V131" i="36"/>
  <c r="W139" i="36"/>
  <c r="V93" i="36"/>
  <c r="V16" i="21" s="1"/>
  <c r="W98" i="36"/>
  <c r="W21" i="21" s="1"/>
  <c r="X129" i="36"/>
  <c r="V101" i="36"/>
  <c r="V24" i="21" s="1"/>
  <c r="V140" i="36"/>
  <c r="X99" i="36"/>
  <c r="X22" i="21" s="1"/>
  <c r="V134" i="36"/>
  <c r="X101" i="36"/>
  <c r="X24" i="21" s="1"/>
  <c r="V138" i="36"/>
  <c r="W102" i="36"/>
  <c r="W25" i="21" s="1"/>
  <c r="V97" i="36"/>
  <c r="V20" i="21" s="1"/>
  <c r="X130" i="36"/>
  <c r="W134" i="36"/>
  <c r="W101" i="36"/>
  <c r="W24" i="21" s="1"/>
  <c r="V94" i="36"/>
  <c r="V17" i="21" s="1"/>
  <c r="V103" i="36"/>
  <c r="V26" i="21" s="1"/>
  <c r="X131" i="36"/>
  <c r="X133" i="36"/>
  <c r="W136" i="36"/>
  <c r="W96" i="36"/>
  <c r="W19" i="21" s="1"/>
  <c r="X95" i="36"/>
  <c r="X18" i="21" s="1"/>
  <c r="X96" i="36"/>
  <c r="X19" i="21" s="1"/>
  <c r="W140" i="36"/>
  <c r="V132" i="36"/>
  <c r="W137" i="36"/>
  <c r="U132" i="36"/>
  <c r="X138" i="36"/>
  <c r="V136" i="36"/>
  <c r="V135" i="36"/>
  <c r="X137" i="36"/>
  <c r="U138" i="36"/>
  <c r="X103" i="36"/>
  <c r="X26" i="21" s="1"/>
  <c r="X139" i="36"/>
  <c r="W131" i="36"/>
  <c r="V133" i="36"/>
  <c r="V102" i="36"/>
  <c r="V25" i="21" s="1"/>
  <c r="W104" i="36"/>
  <c r="W27" i="21" s="1"/>
  <c r="W94" i="36"/>
  <c r="W17" i="21" s="1"/>
  <c r="V137" i="36"/>
  <c r="W103" i="36"/>
  <c r="W26" i="21" s="1"/>
  <c r="W138" i="36"/>
  <c r="W129" i="36"/>
  <c r="W130" i="36"/>
  <c r="U99" i="36"/>
  <c r="U22" i="21" s="1"/>
  <c r="W133" i="36"/>
  <c r="X97" i="36"/>
  <c r="X20" i="21" s="1"/>
  <c r="V95" i="36"/>
  <c r="V18" i="21" s="1"/>
  <c r="T93" i="36"/>
  <c r="T16" i="21" s="1"/>
  <c r="U135" i="36"/>
  <c r="X132" i="36"/>
  <c r="X134" i="36"/>
  <c r="V98" i="36"/>
  <c r="V21" i="21" s="1"/>
  <c r="U96" i="36"/>
  <c r="U19" i="21" s="1"/>
  <c r="V129" i="36"/>
  <c r="X136" i="36"/>
  <c r="V96" i="36"/>
  <c r="V19" i="21" s="1"/>
  <c r="W93" i="36"/>
  <c r="W16" i="21" s="1"/>
  <c r="V99" i="36"/>
  <c r="V22" i="21" s="1"/>
  <c r="X104" i="36"/>
  <c r="X27" i="21" s="1"/>
  <c r="X98" i="36"/>
  <c r="X21" i="21" s="1"/>
  <c r="V130" i="36"/>
  <c r="X102" i="36"/>
  <c r="X25" i="21" s="1"/>
  <c r="V104" i="36"/>
  <c r="V27" i="21" s="1"/>
  <c r="X135" i="36"/>
  <c r="V100" i="36"/>
  <c r="V23" i="21" s="1"/>
  <c r="W100" i="36"/>
  <c r="W23" i="21" s="1"/>
  <c r="W99" i="36"/>
  <c r="W22" i="21" s="1"/>
  <c r="Q95" i="36"/>
  <c r="Q18" i="21" s="1"/>
  <c r="P101" i="36"/>
  <c r="P24" i="21" s="1"/>
  <c r="O102" i="36"/>
  <c r="O25" i="21" s="1"/>
  <c r="Q131" i="36"/>
  <c r="P97" i="36"/>
  <c r="P20" i="21" s="1"/>
  <c r="R103" i="36"/>
  <c r="R26" i="21" s="1"/>
  <c r="P95" i="36"/>
  <c r="P18" i="21" s="1"/>
  <c r="R95" i="36"/>
  <c r="R18" i="21" s="1"/>
  <c r="Q103" i="36"/>
  <c r="Q26" i="21" s="1"/>
  <c r="P103" i="36"/>
  <c r="P26" i="21" s="1"/>
  <c r="Q140" i="36"/>
  <c r="Q100" i="36"/>
  <c r="Q23" i="21" s="1"/>
  <c r="P98" i="36"/>
  <c r="P21" i="21" s="1"/>
  <c r="P140" i="36"/>
  <c r="P104" i="36"/>
  <c r="P27" i="21" s="1"/>
  <c r="R135" i="36"/>
  <c r="R138" i="36"/>
  <c r="R137" i="36"/>
  <c r="R136" i="36"/>
  <c r="R93" i="36"/>
  <c r="R16" i="21" s="1"/>
  <c r="Q99" i="36"/>
  <c r="Q22" i="21" s="1"/>
  <c r="P96" i="36"/>
  <c r="P19" i="21" s="1"/>
  <c r="P134" i="36"/>
  <c r="O129" i="36"/>
  <c r="Q94" i="36"/>
  <c r="Q17" i="21" s="1"/>
  <c r="Q137" i="36"/>
  <c r="O132" i="36"/>
  <c r="Q93" i="36"/>
  <c r="Q16" i="21" s="1"/>
  <c r="Q136" i="36"/>
  <c r="P135" i="36"/>
  <c r="R139" i="36"/>
  <c r="Q139" i="36"/>
  <c r="R140" i="36"/>
  <c r="R96" i="36"/>
  <c r="R19" i="21" s="1"/>
  <c r="P93" i="36"/>
  <c r="P16" i="21" s="1"/>
  <c r="N93" i="36"/>
  <c r="N16" i="21" s="1"/>
  <c r="R130" i="36"/>
  <c r="P130" i="36"/>
  <c r="P100" i="36"/>
  <c r="P23" i="21" s="1"/>
  <c r="P137" i="36"/>
  <c r="R100" i="36"/>
  <c r="R23" i="21" s="1"/>
  <c r="R133" i="36"/>
  <c r="P94" i="36"/>
  <c r="P17" i="21" s="1"/>
  <c r="I93" i="36" l="1"/>
  <c r="I16" i="21" s="1"/>
  <c r="R60" i="21"/>
  <c r="O50" i="21"/>
  <c r="P61" i="21"/>
  <c r="V51" i="21"/>
  <c r="W54" i="21"/>
  <c r="V56" i="21"/>
  <c r="P51" i="21"/>
  <c r="P56" i="21"/>
  <c r="O53" i="21"/>
  <c r="P55" i="21"/>
  <c r="R57" i="21"/>
  <c r="Q52" i="21"/>
  <c r="X56" i="21"/>
  <c r="V57" i="21"/>
  <c r="V53" i="21"/>
  <c r="X51" i="21"/>
  <c r="W60" i="21"/>
  <c r="X61" i="21"/>
  <c r="R55" i="21"/>
  <c r="N50" i="21"/>
  <c r="Q55" i="21"/>
  <c r="I70" i="21"/>
  <c r="J74" i="21"/>
  <c r="L78" i="21"/>
  <c r="K71" i="21"/>
  <c r="K77" i="21"/>
  <c r="K70" i="21"/>
  <c r="L74" i="21"/>
  <c r="J78" i="21"/>
  <c r="K72" i="21"/>
  <c r="K78" i="21"/>
  <c r="Q71" i="21"/>
  <c r="Q77" i="21"/>
  <c r="P70" i="21"/>
  <c r="R74" i="21"/>
  <c r="P78" i="21"/>
  <c r="Q72" i="21"/>
  <c r="Q78" i="21"/>
  <c r="R69" i="21"/>
  <c r="R73" i="21"/>
  <c r="P77" i="21"/>
  <c r="R51" i="21"/>
  <c r="R58" i="21"/>
  <c r="X55" i="21"/>
  <c r="W51" i="21"/>
  <c r="V58" i="21"/>
  <c r="V54" i="21"/>
  <c r="U59" i="21"/>
  <c r="X59" i="21"/>
  <c r="W61" i="21"/>
  <c r="W57" i="21"/>
  <c r="V55" i="21"/>
  <c r="X50" i="21"/>
  <c r="V52" i="21"/>
  <c r="U50" i="21"/>
  <c r="R52" i="21"/>
  <c r="P60" i="21"/>
  <c r="O56" i="21"/>
  <c r="P52" i="21"/>
  <c r="Q59" i="21"/>
  <c r="J67" i="21"/>
  <c r="J71" i="21"/>
  <c r="L75" i="21"/>
  <c r="K67" i="21"/>
  <c r="J73" i="21"/>
  <c r="L67" i="21"/>
  <c r="L71" i="21"/>
  <c r="J75" i="21"/>
  <c r="I67" i="21"/>
  <c r="L73" i="21"/>
  <c r="O67" i="21"/>
  <c r="O73" i="21"/>
  <c r="P67" i="21"/>
  <c r="R71" i="21"/>
  <c r="P75" i="21"/>
  <c r="Q67" i="21"/>
  <c r="Q73" i="21"/>
  <c r="N67" i="21"/>
  <c r="R70" i="21"/>
  <c r="P74" i="21"/>
  <c r="R78" i="21"/>
  <c r="R61" i="21"/>
  <c r="Q58" i="21"/>
  <c r="Q61" i="21"/>
  <c r="X57" i="21"/>
  <c r="R54" i="21"/>
  <c r="Q60" i="21"/>
  <c r="Q57" i="21"/>
  <c r="R59" i="21"/>
  <c r="V50" i="21"/>
  <c r="X53" i="21"/>
  <c r="W50" i="21"/>
  <c r="W52" i="21"/>
  <c r="X58" i="21"/>
  <c r="U53" i="21"/>
  <c r="X54" i="21"/>
  <c r="W53" i="21"/>
  <c r="R50" i="21"/>
  <c r="P54" i="21"/>
  <c r="P50" i="21"/>
  <c r="Q54" i="21"/>
  <c r="P57" i="21"/>
  <c r="P59" i="21"/>
  <c r="R53" i="21"/>
  <c r="Q53" i="21"/>
  <c r="J68" i="21"/>
  <c r="L72" i="21"/>
  <c r="I76" i="21"/>
  <c r="K68" i="21"/>
  <c r="K74" i="21"/>
  <c r="L68" i="21"/>
  <c r="J72" i="21"/>
  <c r="K76" i="21"/>
  <c r="K69" i="21"/>
  <c r="K75" i="21"/>
  <c r="Q68" i="21"/>
  <c r="Q74" i="21"/>
  <c r="R68" i="21"/>
  <c r="P72" i="21"/>
  <c r="P76" i="21"/>
  <c r="Q69" i="21"/>
  <c r="Q75" i="21"/>
  <c r="R67" i="21"/>
  <c r="P71" i="21"/>
  <c r="R75" i="21"/>
  <c r="P58" i="21"/>
  <c r="R56" i="21"/>
  <c r="U56" i="21"/>
  <c r="W59" i="21"/>
  <c r="X60" i="21"/>
  <c r="W58" i="21"/>
  <c r="X52" i="21"/>
  <c r="W55" i="21"/>
  <c r="V59" i="21"/>
  <c r="V61" i="21"/>
  <c r="W56" i="21"/>
  <c r="V60" i="21"/>
  <c r="Q50" i="21"/>
  <c r="P53" i="21"/>
  <c r="Q56" i="21"/>
  <c r="Q51" i="21"/>
  <c r="O59" i="21"/>
  <c r="T50" i="21"/>
  <c r="L69" i="21"/>
  <c r="I73" i="21"/>
  <c r="J77" i="21"/>
  <c r="J70" i="21"/>
  <c r="J76" i="21"/>
  <c r="J69" i="21"/>
  <c r="K73" i="21"/>
  <c r="L77" i="21"/>
  <c r="L70" i="21"/>
  <c r="L76" i="21"/>
  <c r="O70" i="21"/>
  <c r="O76" i="21"/>
  <c r="P69" i="21"/>
  <c r="P73" i="21"/>
  <c r="R77" i="21"/>
  <c r="Q70" i="21"/>
  <c r="Q76" i="21"/>
  <c r="P68" i="21"/>
  <c r="R72" i="21"/>
  <c r="R76" i="21"/>
  <c r="I96" i="36"/>
  <c r="I19" i="21" s="1"/>
  <c r="L96" i="36"/>
  <c r="L19" i="21" s="1"/>
  <c r="J138" i="36"/>
  <c r="K102" i="36"/>
  <c r="K25" i="21" s="1"/>
  <c r="J99" i="36"/>
  <c r="J22" i="21" s="1"/>
  <c r="L137" i="36"/>
  <c r="L134" i="36"/>
  <c r="I102" i="36"/>
  <c r="I25" i="21" s="1"/>
  <c r="L102" i="36"/>
  <c r="L25" i="21" s="1"/>
  <c r="J94" i="36"/>
  <c r="J17" i="21" s="1"/>
  <c r="H129" i="36"/>
  <c r="K129" i="36"/>
  <c r="J100" i="36"/>
  <c r="J23" i="21" s="1"/>
  <c r="L98" i="36"/>
  <c r="L21" i="21" s="1"/>
  <c r="J98" i="36"/>
  <c r="J21" i="21" s="1"/>
  <c r="H93" i="36"/>
  <c r="H16" i="21" s="1"/>
  <c r="K135" i="36"/>
  <c r="L129" i="36"/>
  <c r="L138" i="36"/>
  <c r="K95" i="36"/>
  <c r="K18" i="21" s="1"/>
  <c r="J97" i="36"/>
  <c r="J20" i="21" s="1"/>
  <c r="K133" i="36"/>
  <c r="L99" i="36"/>
  <c r="L22" i="21" s="1"/>
  <c r="J139" i="36"/>
  <c r="K97" i="36"/>
  <c r="K20" i="21" s="1"/>
  <c r="J135" i="36"/>
  <c r="J104" i="36"/>
  <c r="J27" i="21" s="1"/>
  <c r="K104" i="36"/>
  <c r="K27" i="21" s="1"/>
  <c r="J103" i="36"/>
  <c r="J26" i="21" s="1"/>
  <c r="J93" i="36"/>
  <c r="J16" i="21" s="1"/>
  <c r="L136" i="36"/>
  <c r="L95" i="36"/>
  <c r="L18" i="21" s="1"/>
  <c r="J137" i="36"/>
  <c r="K138" i="36"/>
  <c r="K140" i="36"/>
  <c r="J102" i="36"/>
  <c r="J25" i="21" s="1"/>
  <c r="K132" i="36"/>
  <c r="L140" i="36"/>
  <c r="K136" i="36"/>
  <c r="J96" i="36"/>
  <c r="J19" i="21" s="1"/>
  <c r="J134" i="36"/>
  <c r="J136" i="36"/>
  <c r="L139" i="36"/>
  <c r="I132" i="36"/>
  <c r="L93" i="36"/>
  <c r="L16" i="21" s="1"/>
  <c r="K100" i="36"/>
  <c r="K23" i="21" s="1"/>
  <c r="L97" i="36"/>
  <c r="L20" i="21" s="1"/>
  <c r="J140" i="36"/>
  <c r="I129" i="36"/>
  <c r="J101" i="36"/>
  <c r="J24" i="21" s="1"/>
  <c r="L103" i="36"/>
  <c r="L26" i="21" s="1"/>
  <c r="K96" i="36"/>
  <c r="K19" i="21" s="1"/>
  <c r="J95" i="36"/>
  <c r="J18" i="21" s="1"/>
  <c r="L135" i="36"/>
  <c r="L94" i="36"/>
  <c r="L17" i="21" s="1"/>
  <c r="K98" i="36"/>
  <c r="K21" i="21" s="1"/>
  <c r="J131" i="36"/>
  <c r="L133" i="36"/>
  <c r="K130" i="36"/>
  <c r="L104" i="36"/>
  <c r="L27" i="21" s="1"/>
  <c r="K139" i="36"/>
  <c r="K101" i="36"/>
  <c r="K24" i="21" s="1"/>
  <c r="J129" i="36"/>
  <c r="K137" i="36"/>
  <c r="I99" i="36"/>
  <c r="I22" i="21" s="1"/>
  <c r="K103" i="36"/>
  <c r="K26" i="21" s="1"/>
  <c r="K131" i="36"/>
  <c r="L101" i="36"/>
  <c r="L24" i="21" s="1"/>
  <c r="K134" i="36"/>
  <c r="I138" i="36"/>
  <c r="K94" i="36"/>
  <c r="K17" i="21" s="1"/>
  <c r="J133" i="36"/>
  <c r="L130" i="36"/>
  <c r="L132" i="36"/>
  <c r="J130" i="36"/>
  <c r="K93" i="36"/>
  <c r="K16" i="21" s="1"/>
  <c r="L131" i="36"/>
  <c r="K99" i="36"/>
  <c r="K22" i="21" s="1"/>
  <c r="L100" i="36"/>
  <c r="L23" i="21" s="1"/>
  <c r="J132" i="36"/>
  <c r="I135" i="36"/>
  <c r="K58" i="21" l="1"/>
  <c r="I56" i="21"/>
  <c r="L56" i="21"/>
  <c r="J55" i="21"/>
  <c r="K61" i="21"/>
  <c r="L57" i="21"/>
  <c r="J60" i="21"/>
  <c r="K50" i="21"/>
  <c r="L58" i="21"/>
  <c r="J59" i="21"/>
  <c r="L53" i="21"/>
  <c r="K60" i="21"/>
  <c r="K52" i="21"/>
  <c r="J61" i="21"/>
  <c r="J53" i="21"/>
  <c r="J54" i="21"/>
  <c r="K55" i="21"/>
  <c r="J50" i="21"/>
  <c r="K51" i="21"/>
  <c r="J52" i="21"/>
  <c r="I53" i="21"/>
  <c r="L61" i="21"/>
  <c r="K59" i="21"/>
  <c r="L50" i="21"/>
  <c r="I59" i="21"/>
  <c r="L51" i="21"/>
  <c r="J51" i="21"/>
  <c r="L54" i="21"/>
  <c r="L60" i="21"/>
  <c r="K53" i="21"/>
  <c r="J58" i="21"/>
  <c r="J56" i="21"/>
  <c r="K56" i="21"/>
  <c r="H50" i="21"/>
  <c r="L52" i="21"/>
  <c r="I50" i="21"/>
  <c r="J57" i="21"/>
  <c r="K57" i="21"/>
  <c r="K54" i="21"/>
  <c r="L59" i="21"/>
  <c r="L55"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sharedStrings.xml><?xml version="1.0" encoding="utf-8"?>
<sst xmlns="http://schemas.openxmlformats.org/spreadsheetml/2006/main" count="806" uniqueCount="177">
  <si>
    <t>Beschrijving resultaat</t>
  </si>
  <si>
    <t xml:space="preserve">Op dit tabblad worden de reserveringsprijzen opgehaald vanuit het berekeningstabblad 
"entry- en exittarieven".
De tarieven worden vastgesteld op 8 decimalen, maar worden weergegeven op 3 of 5 decimalen. Door op de cel te klikken kunnen alle decimalen zichtbaar worden gemaakt.
De ACM publiceert een apart tabblad op haar website met daarin de tarieven met 8 decimalen
</t>
  </si>
  <si>
    <t>Toelichting bij bijzonderheden</t>
  </si>
  <si>
    <t>Gekozen punt voor de tarieven van afschakelbare capaciteit</t>
  </si>
  <si>
    <t>Alle overige entry- en exitpunten</t>
  </si>
  <si>
    <t>Omschrijving</t>
  </si>
  <si>
    <t>Reserveringsprijzen entry (voor interconnectionpunten)</t>
  </si>
  <si>
    <t>Niet-storage</t>
  </si>
  <si>
    <t>Storage</t>
  </si>
  <si>
    <t>LNG-faciliteiten</t>
  </si>
  <si>
    <t>Te betalen prijzen entry (voor binnenlandse entrypunten)</t>
  </si>
  <si>
    <t>Jaar</t>
  </si>
  <si>
    <t>Kwartaal</t>
  </si>
  <si>
    <t>Maand</t>
  </si>
  <si>
    <t>Dag</t>
  </si>
  <si>
    <t>Within-day</t>
  </si>
  <si>
    <t>EUR/kWh/uur/jaar</t>
  </si>
  <si>
    <t>EUR/kWh/uur/kwartaal</t>
  </si>
  <si>
    <t>EUR/kWh/uur/maand</t>
  </si>
  <si>
    <t>EUR/kWh/uur/dag</t>
  </si>
  <si>
    <t>EUR/kWh/uur/uur</t>
  </si>
  <si>
    <t>Januari</t>
  </si>
  <si>
    <t>Februari</t>
  </si>
  <si>
    <t>Maart</t>
  </si>
  <si>
    <t>April</t>
  </si>
  <si>
    <t>Mei</t>
  </si>
  <si>
    <t>Juni</t>
  </si>
  <si>
    <t>Juli</t>
  </si>
  <si>
    <t>Augustus</t>
  </si>
  <si>
    <t>September</t>
  </si>
  <si>
    <t>Oktober</t>
  </si>
  <si>
    <t>November</t>
  </si>
  <si>
    <t>December</t>
  </si>
  <si>
    <t>Reserveringsprijzen exit (voor interconnectionpunten)</t>
  </si>
  <si>
    <t>Te betalen prijzen exit (voor binnenlandse exitpunten)</t>
  </si>
  <si>
    <t>Reserveringsprijzen afschakelbare capaciteit entry (voor interconnectionpunten)</t>
  </si>
  <si>
    <t>Te betalen prijzen  afschakelbare capaciteit entry (voor binnenlandse entrypunten)</t>
  </si>
  <si>
    <t>Reserveringsprijzen afschakelbare capaciteit exit (voor interconnectionpunten)</t>
  </si>
  <si>
    <t>Te betalen prijzen  afschakelbare capaciteit exit (voor binnenlandse exitpunten)</t>
  </si>
  <si>
    <t>Tabblad 2 - Parameters</t>
  </si>
  <si>
    <t>Beschrijving gegevens</t>
  </si>
  <si>
    <t xml:space="preserve">Op dit tabblad worden alle relevante parameters weergegeven. In kolom S worden de bronnen weergegeven. </t>
  </si>
  <si>
    <t>Eenheid</t>
  </si>
  <si>
    <t>Constante</t>
  </si>
  <si>
    <t>Bronverwijzing</t>
  </si>
  <si>
    <t>Opmerking</t>
  </si>
  <si>
    <t>%</t>
  </si>
  <si>
    <t>EUR, pp jaar</t>
  </si>
  <si>
    <t>Van 2020 naar jaar</t>
  </si>
  <si>
    <t>Van 2021 naar jaar</t>
  </si>
  <si>
    <t>Van 2022 naar jaar</t>
  </si>
  <si>
    <t>Van 2023 naar jaar</t>
  </si>
  <si>
    <t>Van 2024 naar jaar</t>
  </si>
  <si>
    <t>Van 2025 naar jaar</t>
  </si>
  <si>
    <t>Van 2026 naar jaar</t>
  </si>
  <si>
    <t>Heffingsrente</t>
  </si>
  <si>
    <t>Wettelijke rente</t>
  </si>
  <si>
    <t>DNB, vanaf 2025 berekening ACM o.b.v. ECB</t>
  </si>
  <si>
    <t>Vanaf 2025 gebruikt de ACM een actuelere en specifiekere schatting voor de heffingsrente, gebaseerd op de meest recent beschikbare gegevens. De DNB stelt de wettelijke rente vast door de meest recente ECB referentierente te verhogen met 2,25 %-punt en dit (naar boven) naar de de dichtstbijzijnde halve of hele procentpunt. De meest recente ECB-rente is 4,5%, waarmee we de heffingsrente dus op 4,50+2,25=6,75, afgerond 7% vaststellen.</t>
  </si>
  <si>
    <t>1 + heffingsrente</t>
  </si>
  <si>
    <t>1+heffingsrente</t>
  </si>
  <si>
    <t>Entry-exitverdeling</t>
  </si>
  <si>
    <t>Aandeel toegestane inkomsten entry</t>
  </si>
  <si>
    <t>Tarievencode gas</t>
  </si>
  <si>
    <t>Aandeel toegestane inkomsten exit</t>
  </si>
  <si>
    <t>Kortingen</t>
  </si>
  <si>
    <t>Gasopslagkorting</t>
  </si>
  <si>
    <t>Korting LNG-faciliteiten</t>
  </si>
  <si>
    <t>Multiplicatoren</t>
  </si>
  <si>
    <t>Multiplicator kwartaalcapaciteitsproduct</t>
  </si>
  <si>
    <t>Multiplicator maandcapaciteitsproduct</t>
  </si>
  <si>
    <t>Multiplicator dagcapaciteitsproduct</t>
  </si>
  <si>
    <t>Multiplicator within-day-capaciteitsproduct</t>
  </si>
  <si>
    <t>Seizoensfactoren</t>
  </si>
  <si>
    <t>Seizoensfactor kwartaalcapaciteitsproducten</t>
  </si>
  <si>
    <t>Januari - maart</t>
  </si>
  <si>
    <t>April - juni</t>
  </si>
  <si>
    <t>Juli - september</t>
  </si>
  <si>
    <t>Oktober - december</t>
  </si>
  <si>
    <t>Seizoensfactor maandcapaciteitsproducten</t>
  </si>
  <si>
    <r>
      <t xml:space="preserve">Seizoensfactor dag- en </t>
    </r>
    <r>
      <rPr>
        <b/>
        <i/>
        <sz val="10"/>
        <rFont val="Arial"/>
        <family val="2"/>
      </rPr>
      <t>within-day-</t>
    </r>
    <r>
      <rPr>
        <b/>
        <sz val="10"/>
        <rFont val="Arial"/>
        <family val="2"/>
      </rPr>
      <t>capaciteitsproducten</t>
    </r>
  </si>
  <si>
    <t>Aantal dagen/uren per capaciteitsproduct</t>
  </si>
  <si>
    <t>Aantal dagen per maand in het jaar 2026</t>
  </si>
  <si>
    <t>Aantal dagen per kwartaal in het jaar 2026</t>
  </si>
  <si>
    <t>Aantal dagen en uren per jaar in het jaar 2026</t>
  </si>
  <si>
    <t>Aantal uren per dag</t>
  </si>
  <si>
    <t>Aantal dagen per jaar</t>
  </si>
  <si>
    <t>Aantal uren per jaar</t>
  </si>
  <si>
    <t>Korting afschakelbare capaciteit</t>
  </si>
  <si>
    <t>Entry</t>
  </si>
  <si>
    <t>301576_VIP BENE-L</t>
  </si>
  <si>
    <t>301568_VIP TTF-THE-L</t>
  </si>
  <si>
    <t>301546_VIP BENE</t>
  </si>
  <si>
    <t>301453_OUDE STATENZIJL (EWE JEMGUM)</t>
  </si>
  <si>
    <t>301401_OUDE STATENZIJL (ETZEL FREYA H)</t>
  </si>
  <si>
    <t>301400_OUDE STATENZIJL (ETZEL-CRYSTAL-H)</t>
  </si>
  <si>
    <t>301391_OUDE STATENZIJL (ASTORA JEMGUM)</t>
  </si>
  <si>
    <t>301360_OUDE STATENZIJL (ETZEL EKB H)</t>
  </si>
  <si>
    <t>301348_BERGERMEER (TAQA-UGS)</t>
  </si>
  <si>
    <t>301345_ROTTERDAM (GATE)</t>
  </si>
  <si>
    <t>301320_ZUIDWENDING (UGS)</t>
  </si>
  <si>
    <t>301116_NORG (NAM-UGS)</t>
  </si>
  <si>
    <t>301114_GRIJPSKERK (NAM-UGS)</t>
  </si>
  <si>
    <t>300131_HILVARENBEEK (FLUXYS)</t>
  </si>
  <si>
    <t>Exit</t>
  </si>
  <si>
    <t xml:space="preserve">Tabblad 3 - Input nacalculaties </t>
  </si>
  <si>
    <t>Op dit tabblad wordt de benodigde informatie voor de nacalculaties weergegeven.</t>
  </si>
  <si>
    <t>Neutraliteitsheffing</t>
  </si>
  <si>
    <t>Toegestane inkomsten 2024</t>
  </si>
  <si>
    <t>Neutraliteitsheffing 2024</t>
  </si>
  <si>
    <t>Gerealiseerde inkomsten 2024</t>
  </si>
  <si>
    <t>Reguleringsdata 2024</t>
  </si>
  <si>
    <t>Kosten vergoed door neutraliteitsheffing (artikel 4.1.4.5 transportcode Gas LNB)</t>
  </si>
  <si>
    <t>Kosten 2024 vergoed door neutraliteitsheffing</t>
  </si>
  <si>
    <t>Kosten vergoed door neutraliteitsheffing (artikel 4.1.4.6 transportcode Gas LNB)</t>
  </si>
  <si>
    <t>Einde dag verrekening (artikel 4.1.7 transportcode Gas LNB)</t>
  </si>
  <si>
    <t>Opbrengsten 2024 uit einde dag verrekening</t>
  </si>
  <si>
    <t>Opbrengsten 2024 uit VOB (exchange charge)</t>
  </si>
  <si>
    <t>Kosten vergoed door neutraliteitsheffing (wanbetaling gecorrigeerd voor nagekomen opbrengsten)</t>
  </si>
  <si>
    <t>Tabblad 4 - Input voorspelde gecontracteerde capaciteit</t>
  </si>
  <si>
    <t>Op dit tabblad kan GTS de schatting van de gecontracteerde capaciteit 
opgeven.</t>
  </si>
  <si>
    <t>Voorspelde gecontracteerde capaciteit</t>
  </si>
  <si>
    <t>Voorspelde gecontracteerde capaciteit entry</t>
  </si>
  <si>
    <t>kWh/uur/jaar</t>
  </si>
  <si>
    <t>GTS</t>
  </si>
  <si>
    <t>Voorspelde gecontracteerde capaciteit exit</t>
  </si>
  <si>
    <t>Voorspelde gecontracteerde capaciteit entry gasopslag</t>
  </si>
  <si>
    <t>Voorspelde gecontracteerde capaciteit exit gasopslag</t>
  </si>
  <si>
    <t>Voorspelde gecontracteerde capaciteit entry LNG-faciliteiten</t>
  </si>
  <si>
    <t>Tabblad 5 - Nacalculaties</t>
  </si>
  <si>
    <t>Beschrijving berekening</t>
  </si>
  <si>
    <t xml:space="preserve">Op dit tabblad worden de nacalculaties inclusief heffingsrente berekend. 
</t>
  </si>
  <si>
    <t>Ophalen parameters</t>
  </si>
  <si>
    <t>1+ heffingsrente</t>
  </si>
  <si>
    <t xml:space="preserve">Verschil </t>
  </si>
  <si>
    <t>Nacalculeren excl. heffingsrente</t>
  </si>
  <si>
    <t>Nacalculeren incl. heffingsrente</t>
  </si>
  <si>
    <t>Som</t>
  </si>
  <si>
    <t>Tabblad 6 - Toegestane inkomsten</t>
  </si>
  <si>
    <t>Op dit tabblad worden de toegestane inkomsten berekend.</t>
  </si>
  <si>
    <t>Nacalculaties</t>
  </si>
  <si>
    <t>Toegestane inkomsten</t>
  </si>
  <si>
    <t xml:space="preserve">Toegestane inkomsten </t>
  </si>
  <si>
    <t>Tabblad 7 - Referentieprijsmethodologie</t>
  </si>
  <si>
    <t>Op dit tabblad worden de referentieprijzen berekend</t>
  </si>
  <si>
    <t>Ophalen gegevens</t>
  </si>
  <si>
    <t>Referentieprijzen vóór aanpassingen</t>
  </si>
  <si>
    <t>Referentieprijs entry vóór aanpassingen</t>
  </si>
  <si>
    <t>EUR/kWh/uur/jaar, pp jaar</t>
  </si>
  <si>
    <t>Referentieprijs exit vóór aanpassingen</t>
  </si>
  <si>
    <t>Constante voor herschaling</t>
  </si>
  <si>
    <t>Inkomstenverlies gasopslagkorting en korting LNG-faciliteiten</t>
  </si>
  <si>
    <t>Herschalingsfactor</t>
  </si>
  <si>
    <t>Referentieprijzen na aanpassingen</t>
  </si>
  <si>
    <t>Referentieprijs entry na aanpassingen niet gasopslag</t>
  </si>
  <si>
    <t>Referentieprijs exit na aanpassingen niet gasopslag</t>
  </si>
  <si>
    <t>Referentieprijs entry na aanpassingen gasopslag</t>
  </si>
  <si>
    <t>Referentieprijs exit na aanpassingen gasopslag</t>
  </si>
  <si>
    <t>Referentieprijs entry na aanpassingen LNG-faciliteiten</t>
  </si>
  <si>
    <t>Controle op tariefaanpassingen</t>
  </si>
  <si>
    <t>Omzet voor aanpassingen</t>
  </si>
  <si>
    <t>Omzet na aanpassingen</t>
  </si>
  <si>
    <t>Omzet voor aanpassingen = omzet na aanpassingen?</t>
  </si>
  <si>
    <t>Gekozen punt voor korting afschakelen</t>
  </si>
  <si>
    <t>Korting voor afschakelbare capaciteit entry</t>
  </si>
  <si>
    <t>Korting voor afschakelbare capaciteit exit</t>
  </si>
  <si>
    <t>Referentieprijzen na aanpassingen (onafgerond)</t>
  </si>
  <si>
    <t>EUR/kWh/uur/jaar, pp 2026</t>
  </si>
  <si>
    <t>De within-day tarieven worden naar boven afgerond, zodat een 24-uurs within-day product niet goedkoper is dan een dag-product.</t>
  </si>
  <si>
    <t>Te betalen prijzen exit (voor binnenlandse entrypunten)</t>
  </si>
  <si>
    <t>Te betalen prijzen afschakelbare capaciteit entry (voor binnenlandse entrypunten)</t>
  </si>
  <si>
    <t>Reserveringsprijzen afschakelbare capaciteit exit (voor interconnection punten)</t>
  </si>
  <si>
    <t>Tabblad 1 - Entry- en exittarieven Neutraliteitsheffing</t>
  </si>
  <si>
    <t>De ACM heeft op verschillende entry- en exitpunten verschillende kortingen voor afschakelbare capaciteit vastgesteld, gebaseerd op de gerealiseerde kans op afschakelen. In de roze gemarkeerde cel hiernaast kan u middels een dropdownmenu selecteren voor welk punt u de tarieven wil berekenen.</t>
  </si>
  <si>
    <t>Einde dag verrekening en VOB (artikel 4.1.7 transportcode Gas LNB)</t>
  </si>
  <si>
    <t>Tabblad 8 - Entry- en exittarieven</t>
  </si>
  <si>
    <t>Op dit tabblad worden de entry- en exittarieven berekend.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</si>
</sst>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2">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0.00000000"/>
    <numFmt numFmtId="266" formatCode="0.0000000000"/>
    <numFmt numFmtId="267" formatCode="_ * #,##0.00000_ ;_ * \-#,##0.00000_ ;_ * &quot;-&quot;??_ ;_ @_ "/>
    <numFmt numFmtId="268" formatCode="_ * #,##0.0_ ;_ * \-#,##0.0_ ;_ * &quot;-&quot;??_ ;_ @_ "/>
    <numFmt numFmtId="269" formatCode="_ * #,##0.000_ ;_ * \-#,##0.000_ ;_ * &quot;-&quot;???_ ;_ @_ "/>
    <numFmt numFmtId="270" formatCode="#,##0_ ;\-#,##0\ "/>
    <numFmt numFmtId="271" formatCode="_ * #,##0_ ;_ * \-#,##0_ ;_ * &quot;-&quot;???_ ;_ @_ "/>
  </numFmts>
  <fonts count="257">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b/>
      <sz val="18"/>
      <color rgb="FFFF0000"/>
      <name val="Arial"/>
      <family val="2"/>
    </font>
  </fonts>
  <fills count="15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s>
  <borders count="7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36">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0" borderId="1">
      <alignment vertical="top"/>
    </xf>
    <xf numFmtId="49" fontId="7" fillId="0" borderId="0">
      <alignment vertical="top"/>
    </xf>
    <xf numFmtId="43" fontId="6" fillId="13" borderId="0">
      <alignment vertical="top"/>
    </xf>
    <xf numFmtId="43" fontId="6" fillId="12" borderId="0">
      <alignment vertical="top"/>
    </xf>
    <xf numFmtId="43" fontId="6" fillId="10" borderId="0">
      <alignment vertical="top"/>
    </xf>
    <xf numFmtId="43" fontId="6" fillId="6" borderId="0">
      <alignment vertical="top"/>
    </xf>
    <xf numFmtId="43" fontId="6" fillId="8" borderId="0">
      <alignment vertical="top"/>
    </xf>
    <xf numFmtId="43" fontId="6" fillId="14" borderId="0">
      <alignment vertical="top"/>
    </xf>
    <xf numFmtId="49" fontId="11" fillId="0" borderId="0">
      <alignment vertical="top"/>
    </xf>
    <xf numFmtId="49" fontId="10" fillId="0" borderId="0">
      <alignment vertical="top"/>
    </xf>
    <xf numFmtId="0" fontId="16" fillId="16" borderId="4" applyNumberFormat="0" applyAlignment="0" applyProtection="0"/>
    <xf numFmtId="0" fontId="17" fillId="17" borderId="5" applyNumberFormat="0" applyAlignment="0" applyProtection="0"/>
    <xf numFmtId="0" fontId="18" fillId="17" borderId="4" applyNumberFormat="0" applyAlignment="0" applyProtection="0"/>
    <xf numFmtId="0" fontId="19" fillId="0" borderId="6" applyNumberFormat="0" applyFill="0" applyAlignment="0" applyProtection="0"/>
    <xf numFmtId="0" fontId="13" fillId="18" borderId="7" applyNumberFormat="0" applyAlignment="0" applyProtection="0"/>
    <xf numFmtId="0" fontId="15" fillId="19"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9" fillId="44"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5" borderId="0" applyNumberFormat="0">
      <alignment vertical="top"/>
    </xf>
    <xf numFmtId="43" fontId="6" fillId="12"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2" fillId="58" borderId="0" applyNumberFormat="0" applyBorder="0" applyAlignment="0" applyProtection="0"/>
    <xf numFmtId="0" fontId="42"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2" fillId="62" borderId="0" applyNumberFormat="0" applyBorder="0" applyAlignment="0" applyProtection="0"/>
    <xf numFmtId="0" fontId="42" fillId="70" borderId="0" applyNumberFormat="0" applyBorder="0" applyAlignment="0" applyProtection="0"/>
    <xf numFmtId="0" fontId="41" fillId="63" borderId="0" applyNumberFormat="0" applyBorder="0" applyAlignment="0" applyProtection="0"/>
    <xf numFmtId="0" fontId="41" fillId="60" borderId="0" applyNumberFormat="0" applyBorder="0" applyAlignment="0" applyProtection="0"/>
    <xf numFmtId="0" fontId="42" fillId="71" borderId="0" applyNumberFormat="0" applyBorder="0" applyAlignment="0" applyProtection="0"/>
    <xf numFmtId="0" fontId="42" fillId="72"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2" fillId="74" borderId="0" applyNumberFormat="0" applyBorder="0" applyAlignment="0" applyProtection="0"/>
    <xf numFmtId="0" fontId="42" fillId="75" borderId="0" applyNumberFormat="0" applyBorder="0" applyAlignment="0" applyProtection="0"/>
    <xf numFmtId="0" fontId="41" fillId="76" borderId="0" applyNumberFormat="0" applyBorder="0" applyAlignment="0" applyProtection="0"/>
    <xf numFmtId="0" fontId="46" fillId="79"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96" borderId="26" applyNumberFormat="0">
      <protection locked="0"/>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4" fontId="62" fillId="96" borderId="15"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3" borderId="0" applyNumberFormat="0" applyBorder="0" applyAlignment="0" applyProtection="0"/>
    <xf numFmtId="0" fontId="70" fillId="85" borderId="0" applyNumberFormat="0" applyBorder="0" applyAlignment="0" applyProtection="0"/>
    <xf numFmtId="0" fontId="70" fillId="82" borderId="0" applyNumberFormat="0" applyBorder="0" applyAlignment="0" applyProtection="0"/>
    <xf numFmtId="0" fontId="70" fillId="104" borderId="0" applyNumberFormat="0" applyBorder="0" applyAlignment="0" applyProtection="0"/>
    <xf numFmtId="0" fontId="70" fillId="105" borderId="0" applyNumberFormat="0" applyBorder="0" applyAlignment="0" applyProtection="0"/>
    <xf numFmtId="0" fontId="70" fillId="50" borderId="0" applyNumberFormat="0" applyBorder="0" applyAlignment="0" applyProtection="0"/>
    <xf numFmtId="0" fontId="70" fillId="95" borderId="0" applyNumberFormat="0" applyBorder="0" applyAlignment="0" applyProtection="0"/>
    <xf numFmtId="0" fontId="70" fillId="106" borderId="0" applyNumberFormat="0" applyBorder="0" applyAlignment="0" applyProtection="0"/>
    <xf numFmtId="0" fontId="70" fillId="92" borderId="0" applyNumberFormat="0" applyBorder="0" applyAlignment="0" applyProtection="0"/>
    <xf numFmtId="0" fontId="70" fillId="104" borderId="0" applyNumberFormat="0" applyBorder="0" applyAlignment="0" applyProtection="0"/>
    <xf numFmtId="0" fontId="70" fillId="95" borderId="0" applyNumberFormat="0" applyBorder="0" applyAlignment="0" applyProtection="0"/>
    <xf numFmtId="0" fontId="70" fillId="56" borderId="0" applyNumberFormat="0" applyBorder="0" applyAlignment="0" applyProtection="0"/>
    <xf numFmtId="0" fontId="71" fillId="107" borderId="0" applyNumberFormat="0" applyBorder="0" applyAlignment="0" applyProtection="0"/>
    <xf numFmtId="0" fontId="71" fillId="106" borderId="0" applyNumberFormat="0" applyBorder="0" applyAlignment="0" applyProtection="0"/>
    <xf numFmtId="0" fontId="71" fillId="9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0" borderId="0" applyNumberFormat="0" applyBorder="0" applyAlignment="0" applyProtection="0"/>
    <xf numFmtId="0" fontId="71" fillId="109" borderId="0" applyNumberFormat="0" applyBorder="0" applyAlignment="0" applyProtection="0"/>
    <xf numFmtId="0" fontId="71" fillId="89" borderId="0" applyNumberFormat="0" applyBorder="0" applyAlignment="0" applyProtection="0"/>
    <xf numFmtId="0" fontId="71" fillId="5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1" borderId="0" applyNumberFormat="0" applyBorder="0" applyAlignment="0" applyProtection="0"/>
    <xf numFmtId="0" fontId="72" fillId="51" borderId="23" applyNumberFormat="0" applyAlignment="0" applyProtection="0"/>
    <xf numFmtId="0" fontId="56" fillId="85" borderId="0" applyNumberFormat="0" applyBorder="0" applyAlignment="0" applyProtection="0"/>
    <xf numFmtId="0" fontId="73" fillId="51" borderId="14" applyNumberFormat="0" applyAlignment="0" applyProtection="0"/>
    <xf numFmtId="0" fontId="43" fillId="51" borderId="14"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2" borderId="0" applyNumberFormat="0" applyBorder="0" applyAlignment="0" applyProtection="0"/>
    <xf numFmtId="0" fontId="77" fillId="82" borderId="0" applyNumberFormat="0" applyBorder="0" applyAlignment="0" applyProtection="0"/>
    <xf numFmtId="0" fontId="59" fillId="0" borderId="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1" fillId="50" borderId="14" applyNumberFormat="0" applyAlignment="0" applyProtection="0"/>
    <xf numFmtId="168" fontId="6" fillId="0" borderId="0" applyFont="0" applyFill="0" applyBorder="0" applyAlignment="0" applyProtection="0"/>
    <xf numFmtId="0" fontId="48" fillId="0" borderId="17" applyNumberFormat="0" applyFill="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70" fillId="84" borderId="22" applyNumberFormat="0" applyFont="0" applyAlignment="0" applyProtection="0"/>
    <xf numFmtId="0" fontId="57" fillId="51" borderId="23"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5" borderId="0" applyNumberFormat="0" applyBorder="0" applyAlignment="0" applyProtection="0"/>
    <xf numFmtId="0" fontId="64" fillId="0" borderId="0" applyNumberFormat="0" applyFill="0" applyBorder="0" applyAlignment="0" applyProtection="0"/>
    <xf numFmtId="0" fontId="46" fillId="0" borderId="28" applyNumberFormat="0" applyFill="0" applyAlignment="0" applyProtection="0"/>
    <xf numFmtId="0" fontId="64" fillId="0" borderId="0" applyNumberFormat="0" applyFill="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0" borderId="17"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8" borderId="16" applyNumberFormat="0" applyAlignment="0" applyProtection="0"/>
    <xf numFmtId="0" fontId="6" fillId="0" borderId="0"/>
    <xf numFmtId="0" fontId="1" fillId="0" borderId="0"/>
    <xf numFmtId="4" fontId="40" fillId="87" borderId="15" applyNumberFormat="0" applyProtection="0">
      <alignment horizontal="left" vertical="center" indent="1"/>
    </xf>
    <xf numFmtId="0" fontId="6" fillId="0" borderId="0"/>
    <xf numFmtId="168" fontId="6" fillId="0" borderId="0" applyFont="0" applyFill="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3" fillId="51" borderId="14" applyNumberFormat="0" applyAlignment="0" applyProtection="0"/>
    <xf numFmtId="0" fontId="45" fillId="78" borderId="16" applyNumberFormat="0" applyAlignment="0" applyProtection="0"/>
    <xf numFmtId="0" fontId="48" fillId="0" borderId="17" applyNumberFormat="0" applyFill="0" applyAlignment="0" applyProtection="0"/>
    <xf numFmtId="0" fontId="49" fillId="82" borderId="0" applyNumberFormat="0" applyBorder="0" applyAlignment="0" applyProtection="0"/>
    <xf numFmtId="0" fontId="51" fillId="50" borderId="14" applyNumberFormat="0" applyAlignment="0" applyProtection="0"/>
    <xf numFmtId="168"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6" fillId="85" borderId="0" applyNumberFormat="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84" borderId="2" applyNumberFormat="0" applyProtection="0">
      <alignment vertical="center"/>
    </xf>
    <xf numFmtId="4" fontId="85" fillId="110" borderId="2" applyNumberFormat="0" applyProtection="0">
      <alignmen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111" borderId="15" applyNumberFormat="0" applyProtection="0">
      <alignment horizontal="left" vertical="center" indent="1"/>
    </xf>
    <xf numFmtId="0" fontId="40" fillId="98" borderId="2"/>
    <xf numFmtId="0" fontId="40" fillId="98" borderId="2"/>
    <xf numFmtId="0" fontId="64" fillId="0" borderId="0" applyNumberFormat="0" applyFill="0" applyBorder="0" applyAlignment="0" applyProtection="0"/>
    <xf numFmtId="0" fontId="46" fillId="0" borderId="28" applyNumberFormat="0" applyFill="0" applyAlignment="0" applyProtection="0"/>
    <xf numFmtId="0" fontId="57" fillId="51" borderId="23"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4"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1" borderId="14" applyNumberFormat="0" applyAlignment="0" applyProtection="0"/>
    <xf numFmtId="0" fontId="44" fillId="77" borderId="15" applyNumberFormat="0" applyAlignment="0" applyProtection="0"/>
    <xf numFmtId="0" fontId="86" fillId="0" borderId="0" applyNumberFormat="0" applyFill="0" applyBorder="0" applyAlignment="0" applyProtection="0">
      <alignment vertical="top"/>
      <protection locked="0"/>
    </xf>
    <xf numFmtId="0" fontId="50" fillId="75" borderId="15"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165" fontId="6" fillId="9" borderId="35" applyBorder="0" applyProtection="0">
      <alignment horizontal="center" vertical="center"/>
    </xf>
    <xf numFmtId="9" fontId="37"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0" fontId="40" fillId="98" borderId="2"/>
    <xf numFmtId="4" fontId="62" fillId="96" borderId="15"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8"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73" fontId="6"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89" fillId="124" borderId="0"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90" fillId="0" borderId="0"/>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5"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99" fillId="21"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100" fillId="17"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19" borderId="8" applyNumberFormat="0" applyFont="0" applyAlignment="0" applyProtection="0"/>
    <xf numFmtId="9" fontId="1" fillId="0" borderId="0" applyFont="0" applyFill="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72" fillId="51" borderId="23" applyNumberFormat="0" applyAlignment="0" applyProtection="0"/>
    <xf numFmtId="0" fontId="104" fillId="74" borderId="0" applyNumberFormat="0" applyBorder="0" applyAlignment="0" applyProtection="0"/>
    <xf numFmtId="0" fontId="104" fillId="74" borderId="0" applyNumberFormat="0" applyBorder="0" applyAlignment="0" applyProtection="0"/>
    <xf numFmtId="0" fontId="73" fillId="51" borderId="14" applyNumberFormat="0" applyAlignment="0" applyProtection="0"/>
    <xf numFmtId="0" fontId="100" fillId="17" borderId="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5" fillId="69" borderId="16" applyNumberFormat="0" applyAlignment="0" applyProtection="0"/>
    <xf numFmtId="0" fontId="45" fillId="69" borderId="16"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1"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2" fillId="67"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106" fillId="0" borderId="37" applyNumberFormat="0" applyFill="0" applyAlignment="0" applyProtection="0"/>
    <xf numFmtId="0" fontId="106" fillId="0" borderId="37" applyNumberFormat="0" applyFill="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49" fillId="75"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56" fillId="85" borderId="0" applyNumberFormat="0" applyBorder="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110"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112"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111" borderId="0"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9" fillId="0" borderId="21" applyNumberFormat="0" applyFill="0" applyAlignment="0" applyProtection="0"/>
    <xf numFmtId="0" fontId="42" fillId="67" borderId="0" applyNumberFormat="0" applyBorder="0" applyAlignment="0" applyProtection="0"/>
    <xf numFmtId="0" fontId="42" fillId="6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9" fillId="75" borderId="0" applyNumberFormat="0" applyBorder="0" applyAlignment="0" applyProtection="0"/>
    <xf numFmtId="0" fontId="6" fillId="84" borderId="22"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4" fillId="3" borderId="0" applyNumberFormat="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97" fillId="18" borderId="7" applyNumberFormat="0" applyAlignment="0" applyProtection="0"/>
    <xf numFmtId="168" fontId="6" fillId="0" borderId="0" applyFont="0" applyFill="0" applyBorder="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95" fillId="16" borderId="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111" borderId="0"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59" borderId="41">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99" borderId="0"/>
    <xf numFmtId="0" fontId="7" fillId="99" borderId="0"/>
    <xf numFmtId="0" fontId="10" fillId="99" borderId="0"/>
    <xf numFmtId="0" fontId="22" fillId="99" borderId="0"/>
    <xf numFmtId="0" fontId="118" fillId="99" borderId="0"/>
    <xf numFmtId="0" fontId="119" fillId="99" borderId="0"/>
    <xf numFmtId="0" fontId="40" fillId="99"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0" borderId="42"/>
    <xf numFmtId="187" fontId="6" fillId="110" borderId="42"/>
    <xf numFmtId="187" fontId="6" fillId="110" borderId="42"/>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0"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3"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99" borderId="0"/>
    <xf numFmtId="0" fontId="7" fillId="99" borderId="0"/>
    <xf numFmtId="0" fontId="10" fillId="99" borderId="0"/>
    <xf numFmtId="0" fontId="6" fillId="99" borderId="0"/>
    <xf numFmtId="0" fontId="118" fillId="99" borderId="0"/>
    <xf numFmtId="0" fontId="119" fillId="99" borderId="0"/>
    <xf numFmtId="0" fontId="40" fillId="99"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3"/>
    <xf numFmtId="0" fontId="127" fillId="22" borderId="0" applyNumberFormat="0" applyBorder="0" applyAlignment="0" applyProtection="0"/>
    <xf numFmtId="0" fontId="32" fillId="46" borderId="0" applyNumberFormat="0" applyBorder="0" applyAlignment="0" applyProtection="0"/>
    <xf numFmtId="0" fontId="42" fillId="103" borderId="0" applyNumberFormat="0" applyBorder="0" applyAlignment="0" applyProtection="0"/>
    <xf numFmtId="0" fontId="32" fillId="46" borderId="0" applyNumberFormat="0" applyBorder="0" applyAlignment="0" applyProtection="0"/>
    <xf numFmtId="0" fontId="127" fillId="26" borderId="0" applyNumberFormat="0" applyBorder="0" applyAlignment="0" applyProtection="0"/>
    <xf numFmtId="0" fontId="32" fillId="47" borderId="0" applyNumberFormat="0" applyBorder="0" applyAlignment="0" applyProtection="0"/>
    <xf numFmtId="0" fontId="42" fillId="85" borderId="0" applyNumberFormat="0" applyBorder="0" applyAlignment="0" applyProtection="0"/>
    <xf numFmtId="0" fontId="32" fillId="47" borderId="0" applyNumberFormat="0" applyBorder="0" applyAlignment="0" applyProtection="0"/>
    <xf numFmtId="0" fontId="127" fillId="105" borderId="0" applyNumberFormat="0" applyBorder="0" applyAlignment="0" applyProtection="0"/>
    <xf numFmtId="0" fontId="32" fillId="48" borderId="0" applyNumberFormat="0" applyBorder="0" applyAlignment="0" applyProtection="0"/>
    <xf numFmtId="0" fontId="42" fillId="82" borderId="0" applyNumberFormat="0" applyBorder="0" applyAlignment="0" applyProtection="0"/>
    <xf numFmtId="0" fontId="32" fillId="48" borderId="0" applyNumberFormat="0" applyBorder="0" applyAlignment="0" applyProtection="0"/>
    <xf numFmtId="0" fontId="127" fillId="34" borderId="0" applyNumberFormat="0" applyBorder="0" applyAlignment="0" applyProtection="0"/>
    <xf numFmtId="0" fontId="32" fillId="49" borderId="0" applyNumberFormat="0" applyBorder="0" applyAlignment="0" applyProtection="0"/>
    <xf numFmtId="0" fontId="42" fillId="104" borderId="0" applyNumberFormat="0" applyBorder="0" applyAlignment="0" applyProtection="0"/>
    <xf numFmtId="0" fontId="32" fillId="49" borderId="0" applyNumberFormat="0" applyBorder="0" applyAlignment="0" applyProtection="0"/>
    <xf numFmtId="0" fontId="127" fillId="38" borderId="0" applyNumberFormat="0" applyBorder="0" applyAlignment="0" applyProtection="0"/>
    <xf numFmtId="0" fontId="32" fillId="46" borderId="0" applyNumberFormat="0" applyBorder="0" applyAlignment="0" applyProtection="0"/>
    <xf numFmtId="0" fontId="42" fillId="105" borderId="0" applyNumberFormat="0" applyBorder="0" applyAlignment="0" applyProtection="0"/>
    <xf numFmtId="0" fontId="32" fillId="46" borderId="0" applyNumberFormat="0" applyBorder="0" applyAlignment="0" applyProtection="0"/>
    <xf numFmtId="0" fontId="127" fillId="42" borderId="0" applyNumberFormat="0" applyBorder="0" applyAlignment="0" applyProtection="0"/>
    <xf numFmtId="0" fontId="32" fillId="50" borderId="0" applyNumberFormat="0" applyBorder="0" applyAlignment="0" applyProtection="0"/>
    <xf numFmtId="0" fontId="42" fillId="50" borderId="0" applyNumberFormat="0" applyBorder="0" applyAlignment="0" applyProtection="0"/>
    <xf numFmtId="0" fontId="32" fillId="50" borderId="0" applyNumberFormat="0" applyBorder="0" applyAlignment="0" applyProtection="0"/>
    <xf numFmtId="0" fontId="127" fillId="105" borderId="0" applyNumberFormat="0" applyBorder="0" applyAlignment="0" applyProtection="0"/>
    <xf numFmtId="0" fontId="32" fillId="51" borderId="0" applyNumberFormat="0" applyBorder="0" applyAlignment="0" applyProtection="0"/>
    <xf numFmtId="0" fontId="42" fillId="95" borderId="0" applyNumberFormat="0" applyBorder="0" applyAlignment="0" applyProtection="0"/>
    <xf numFmtId="0" fontId="32" fillId="51" borderId="0" applyNumberFormat="0" applyBorder="0" applyAlignment="0" applyProtection="0"/>
    <xf numFmtId="0" fontId="127" fillId="27"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130" borderId="0" applyNumberFormat="0" applyBorder="0" applyAlignment="0" applyProtection="0"/>
    <xf numFmtId="0" fontId="32" fillId="52" borderId="0" applyNumberFormat="0" applyBorder="0" applyAlignment="0" applyProtection="0"/>
    <xf numFmtId="0" fontId="42" fillId="92" borderId="0" applyNumberFormat="0" applyBorder="0" applyAlignment="0" applyProtection="0"/>
    <xf numFmtId="0" fontId="32" fillId="52" borderId="0" applyNumberFormat="0" applyBorder="0" applyAlignment="0" applyProtection="0"/>
    <xf numFmtId="0" fontId="127" fillId="84" borderId="0" applyNumberFormat="0" applyBorder="0" applyAlignment="0" applyProtection="0"/>
    <xf numFmtId="0" fontId="32" fillId="53" borderId="0" applyNumberFormat="0" applyBorder="0" applyAlignment="0" applyProtection="0"/>
    <xf numFmtId="0" fontId="42" fillId="104" borderId="0" applyNumberFormat="0" applyBorder="0" applyAlignment="0" applyProtection="0"/>
    <xf numFmtId="0" fontId="32" fillId="53" borderId="0" applyNumberFormat="0" applyBorder="0" applyAlignment="0" applyProtection="0"/>
    <xf numFmtId="0" fontId="127" fillId="39" borderId="0" applyNumberFormat="0" applyBorder="0" applyAlignment="0" applyProtection="0"/>
    <xf numFmtId="0" fontId="32" fillId="54" borderId="0" applyNumberFormat="0" applyBorder="0" applyAlignment="0" applyProtection="0"/>
    <xf numFmtId="0" fontId="42" fillId="95" borderId="0" applyNumberFormat="0" applyBorder="0" applyAlignment="0" applyProtection="0"/>
    <xf numFmtId="0" fontId="32" fillId="54" borderId="0" applyNumberFormat="0" applyBorder="0" applyAlignment="0" applyProtection="0"/>
    <xf numFmtId="0" fontId="127" fillId="84" borderId="0" applyNumberFormat="0" applyBorder="0" applyAlignment="0" applyProtection="0"/>
    <xf numFmtId="0" fontId="32" fillId="50" borderId="0" applyNumberFormat="0" applyBorder="0" applyAlignment="0" applyProtection="0"/>
    <xf numFmtId="0" fontId="42" fillId="56" borderId="0" applyNumberFormat="0" applyBorder="0" applyAlignment="0" applyProtection="0"/>
    <xf numFmtId="0" fontId="32" fillId="50"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4" borderId="0" applyNumberFormat="0" applyBorder="0" applyAlignment="0" applyProtection="0"/>
    <xf numFmtId="0" fontId="39" fillId="55" borderId="0" applyNumberFormat="0" applyBorder="0" applyAlignment="0" applyProtection="0"/>
    <xf numFmtId="0" fontId="41" fillId="107" borderId="0" applyNumberFormat="0" applyBorder="0" applyAlignment="0" applyProtection="0"/>
    <xf numFmtId="0" fontId="130" fillId="24" borderId="0" applyNumberFormat="0" applyBorder="0" applyAlignment="0" applyProtection="0"/>
    <xf numFmtId="0" fontId="99" fillId="24" borderId="0" applyNumberFormat="0" applyBorder="0" applyAlignment="0" applyProtection="0"/>
    <xf numFmtId="0" fontId="39" fillId="55" borderId="0" applyNumberFormat="0" applyBorder="0" applyAlignment="0" applyProtection="0"/>
    <xf numFmtId="0" fontId="130" fillId="50" borderId="0" applyNumberFormat="0" applyBorder="0" applyAlignment="0" applyProtection="0"/>
    <xf numFmtId="0" fontId="39" fillId="47" borderId="0" applyNumberFormat="0" applyBorder="0" applyAlignment="0" applyProtection="0"/>
    <xf numFmtId="0" fontId="41" fillId="106" borderId="0" applyNumberFormat="0" applyBorder="0" applyAlignment="0" applyProtection="0"/>
    <xf numFmtId="0" fontId="130" fillId="28" borderId="0" applyNumberFormat="0" applyBorder="0" applyAlignment="0" applyProtection="0"/>
    <xf numFmtId="0" fontId="99" fillId="28" borderId="0" applyNumberFormat="0" applyBorder="0" applyAlignment="0" applyProtection="0"/>
    <xf numFmtId="0" fontId="39" fillId="47" borderId="0" applyNumberFormat="0" applyBorder="0" applyAlignment="0" applyProtection="0"/>
    <xf numFmtId="0" fontId="130" fillId="130" borderId="0" applyNumberFormat="0" applyBorder="0" applyAlignment="0" applyProtection="0"/>
    <xf numFmtId="0" fontId="39" fillId="52" borderId="0" applyNumberFormat="0" applyBorder="0" applyAlignment="0" applyProtection="0"/>
    <xf numFmtId="0" fontId="41" fillId="92" borderId="0" applyNumberFormat="0" applyBorder="0" applyAlignment="0" applyProtection="0"/>
    <xf numFmtId="0" fontId="130" fillId="32" borderId="0" applyNumberFormat="0" applyBorder="0" applyAlignment="0" applyProtection="0"/>
    <xf numFmtId="0" fontId="99" fillId="32" borderId="0" applyNumberFormat="0" applyBorder="0" applyAlignment="0" applyProtection="0"/>
    <xf numFmtId="0" fontId="39" fillId="52" borderId="0" applyNumberFormat="0" applyBorder="0" applyAlignment="0" applyProtection="0"/>
    <xf numFmtId="0" fontId="130" fillId="36" borderId="0" applyNumberFormat="0" applyBorder="0" applyAlignment="0" applyProtection="0"/>
    <xf numFmtId="0" fontId="39" fillId="53" borderId="0" applyNumberFormat="0" applyBorder="0" applyAlignment="0" applyProtection="0"/>
    <xf numFmtId="0" fontId="41" fillId="108" borderId="0" applyNumberFormat="0" applyBorder="0" applyAlignment="0" applyProtection="0"/>
    <xf numFmtId="0" fontId="130" fillId="36" borderId="0" applyNumberFormat="0" applyBorder="0" applyAlignment="0" applyProtection="0"/>
    <xf numFmtId="0" fontId="99" fillId="36" borderId="0" applyNumberFormat="0" applyBorder="0" applyAlignment="0" applyProtection="0"/>
    <xf numFmtId="0" fontId="39" fillId="53" borderId="0" applyNumberFormat="0" applyBorder="0" applyAlignment="0" applyProtection="0"/>
    <xf numFmtId="0" fontId="130" fillId="40" borderId="0" applyNumberFormat="0" applyBorder="0" applyAlignment="0" applyProtection="0"/>
    <xf numFmtId="0" fontId="39" fillId="55" borderId="0" applyNumberFormat="0" applyBorder="0" applyAlignment="0" applyProtection="0"/>
    <xf numFmtId="0" fontId="41" fillId="87" borderId="0" applyNumberFormat="0" applyBorder="0" applyAlignment="0" applyProtection="0"/>
    <xf numFmtId="0" fontId="130" fillId="40" borderId="0" applyNumberFormat="0" applyBorder="0" applyAlignment="0" applyProtection="0"/>
    <xf numFmtId="0" fontId="99" fillId="40" borderId="0" applyNumberFormat="0" applyBorder="0" applyAlignment="0" applyProtection="0"/>
    <xf numFmtId="0" fontId="39" fillId="55" borderId="0" applyNumberFormat="0" applyBorder="0" applyAlignment="0" applyProtection="0"/>
    <xf numFmtId="0" fontId="130" fillId="131" borderId="0" applyNumberFormat="0" applyBorder="0" applyAlignment="0" applyProtection="0"/>
    <xf numFmtId="0" fontId="39" fillId="56" borderId="0" applyNumberFormat="0" applyBorder="0" applyAlignment="0" applyProtection="0"/>
    <xf numFmtId="0" fontId="41" fillId="90" borderId="0" applyNumberFormat="0" applyBorder="0" applyAlignment="0" applyProtection="0"/>
    <xf numFmtId="0" fontId="130" fillId="44" borderId="0" applyNumberFormat="0" applyBorder="0" applyAlignment="0" applyProtection="0"/>
    <xf numFmtId="0" fontId="99" fillId="44" borderId="0" applyNumberFormat="0" applyBorder="0" applyAlignment="0" applyProtection="0"/>
    <xf numFmtId="0" fontId="39" fillId="56" borderId="0" applyNumberFormat="0" applyBorder="0" applyAlignment="0" applyProtection="0"/>
    <xf numFmtId="0" fontId="131" fillId="0" borderId="32" applyBorder="0"/>
    <xf numFmtId="0" fontId="131" fillId="0" borderId="32" applyBorder="0"/>
    <xf numFmtId="0" fontId="131" fillId="0" borderId="32" applyBorder="0"/>
    <xf numFmtId="0" fontId="131" fillId="0" borderId="32" applyBorder="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50"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8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34" fillId="132" borderId="45">
      <alignment horizontal="center" vertical="center"/>
    </xf>
    <xf numFmtId="0" fontId="110" fillId="0" borderId="31"/>
    <xf numFmtId="0" fontId="6" fillId="0" borderId="0"/>
    <xf numFmtId="0" fontId="110" fillId="0" borderId="13" applyBorder="0"/>
    <xf numFmtId="0" fontId="110" fillId="0" borderId="13"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59" fillId="0" borderId="46" applyNumberFormat="0" applyFill="0" applyBorder="0" applyAlignment="0" applyProtection="0"/>
    <xf numFmtId="0" fontId="59" fillId="0" borderId="46" applyNumberFormat="0" applyFill="0" applyBorder="0" applyAlignment="0" applyProtection="0"/>
    <xf numFmtId="0" fontId="132" fillId="0" borderId="46" applyNumberFormat="0" applyFill="0" applyBorder="0" applyAlignment="0" applyProtection="0"/>
    <xf numFmtId="0" fontId="132" fillId="0" borderId="46" applyNumberFormat="0" applyFill="0" applyBorder="0" applyAlignment="0" applyProtection="0"/>
    <xf numFmtId="0" fontId="40" fillId="0" borderId="46" applyNumberFormat="0" applyFill="0" applyAlignment="0" applyProtection="0"/>
    <xf numFmtId="0" fontId="133" fillId="0" borderId="47">
      <protection hidden="1"/>
    </xf>
    <xf numFmtId="0" fontId="134" fillId="51" borderId="47" applyNumberFormat="0" applyFont="0" applyBorder="0" applyAlignment="0" applyProtection="0">
      <protection hidden="1"/>
    </xf>
    <xf numFmtId="0" fontId="133" fillId="0" borderId="47">
      <protection hidden="1"/>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165" fontId="136" fillId="0" borderId="0"/>
    <xf numFmtId="0" fontId="137" fillId="0" borderId="0"/>
    <xf numFmtId="194" fontId="137" fillId="0" borderId="0"/>
    <xf numFmtId="173" fontId="137" fillId="0" borderId="0"/>
    <xf numFmtId="0" fontId="138" fillId="95" borderId="0" applyNumberFormat="0" applyBorder="0" applyAlignment="0" applyProtection="0"/>
    <xf numFmtId="0" fontId="56" fillId="85" borderId="0" applyNumberFormat="0" applyBorder="0" applyAlignment="0" applyProtection="0"/>
    <xf numFmtId="0" fontId="104" fillId="7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9" fillId="0" borderId="34" applyNumberFormat="0" applyFont="0" applyFill="0" applyAlignment="0" applyProtection="0"/>
    <xf numFmtId="0" fontId="139" fillId="0" borderId="40" applyNumberFormat="0" applyFont="0" applyFill="0" applyAlignment="0" applyProtection="0"/>
    <xf numFmtId="0" fontId="144" fillId="0" borderId="48" applyNumberFormat="0" applyFont="0" applyFill="0" applyAlignment="0" applyProtection="0">
      <alignment horizontal="centerContinuous"/>
    </xf>
    <xf numFmtId="0" fontId="139" fillId="0" borderId="34"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0" applyNumberFormat="0"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50" fillId="96"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203" fontId="151" fillId="0" borderId="30" applyFill="0" applyBorder="0" applyAlignment="0" applyProtection="0">
      <alignment horizontal="right"/>
    </xf>
    <xf numFmtId="37" fontId="152" fillId="133" borderId="0" applyNumberFormat="0" applyFont="0" applyBorder="0" applyAlignment="0">
      <alignment horizontal="center"/>
    </xf>
    <xf numFmtId="195" fontId="153" fillId="0" borderId="0" applyFont="0" applyFill="0" applyBorder="0" applyAlignment="0" applyProtection="0"/>
    <xf numFmtId="0" fontId="154" fillId="134" borderId="2"/>
    <xf numFmtId="0" fontId="154" fillId="134" borderId="2"/>
    <xf numFmtId="0" fontId="154" fillId="134"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8" borderId="7" applyNumberFormat="0" applyAlignment="0" applyProtection="0"/>
    <xf numFmtId="0" fontId="45" fillId="78" borderId="16" applyNumberFormat="0" applyAlignment="0" applyProtection="0"/>
    <xf numFmtId="0" fontId="97" fillId="18"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2">
      <alignment horizontal="center"/>
    </xf>
    <xf numFmtId="0" fontId="155" fillId="0" borderId="32">
      <alignment horizontal="center"/>
    </xf>
    <xf numFmtId="0" fontId="155" fillId="0" borderId="32">
      <alignment horizontal="center"/>
    </xf>
    <xf numFmtId="0" fontId="155" fillId="0" borderId="32">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99" borderId="41">
      <alignment horizontal="right"/>
    </xf>
    <xf numFmtId="0" fontId="161" fillId="0" borderId="0" applyFont="0" applyFill="0" applyBorder="0" applyAlignment="0" applyProtection="0"/>
    <xf numFmtId="0" fontId="6" fillId="100" borderId="0"/>
    <xf numFmtId="217" fontId="6" fillId="0" borderId="0"/>
    <xf numFmtId="218" fontId="145" fillId="0" borderId="0">
      <alignment horizontal="right"/>
    </xf>
    <xf numFmtId="0" fontId="163" fillId="0" borderId="0" applyNumberFormat="0" applyAlignment="0"/>
    <xf numFmtId="214" fontId="112" fillId="86" borderId="33">
      <protection locked="0"/>
    </xf>
    <xf numFmtId="0" fontId="163" fillId="0" borderId="0" applyNumberFormat="0" applyFont="0" applyAlignment="0" applyProtection="0"/>
    <xf numFmtId="219" fontId="6" fillId="0" borderId="0"/>
    <xf numFmtId="220" fontId="40" fillId="110" borderId="0" applyFont="0" applyFill="0" applyBorder="0" applyAlignment="0" applyProtection="0"/>
    <xf numFmtId="17" fontId="59" fillId="0" borderId="0" applyFill="0" applyBorder="0">
      <alignment horizontal="right"/>
    </xf>
    <xf numFmtId="221" fontId="59" fillId="0" borderId="32"/>
    <xf numFmtId="221" fontId="59" fillId="0" borderId="32"/>
    <xf numFmtId="221" fontId="59" fillId="0" borderId="32"/>
    <xf numFmtId="221" fontId="59" fillId="0" borderId="32"/>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1" borderId="2" applyNumberFormat="0" applyFont="0" applyBorder="0" applyAlignment="0" applyProtection="0">
      <protection locked="0"/>
    </xf>
    <xf numFmtId="10" fontId="6" fillId="11"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49" applyNumberFormat="0" applyFont="0" applyFill="0" applyAlignment="0" applyProtection="0"/>
    <xf numFmtId="212" fontId="166" fillId="0" borderId="0" applyFill="0" applyBorder="0" applyAlignment="0" applyProtection="0"/>
    <xf numFmtId="38" fontId="145" fillId="0" borderId="50">
      <alignment horizontal="right"/>
    </xf>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167" fillId="99"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1" borderId="2" applyFont="0" applyFill="0" applyBorder="0" applyAlignment="0" applyProtection="0">
      <protection locked="0"/>
    </xf>
    <xf numFmtId="170" fontId="68" fillId="11"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9" fillId="0" borderId="21" applyNumberFormat="0" applyFill="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42" fillId="67" borderId="0" applyNumberFormat="0" applyBorder="0" applyAlignment="0" applyProtection="0"/>
    <xf numFmtId="0" fontId="181" fillId="50"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37" fontId="182" fillId="0" borderId="51">
      <alignment horizontal="right" vertical="center"/>
    </xf>
    <xf numFmtId="38" fontId="40" fillId="99"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0">
      <alignment horizontal="centerContinuous"/>
    </xf>
    <xf numFmtId="0" fontId="185" fillId="0" borderId="0">
      <alignment horizontal="centerContinuous"/>
    </xf>
    <xf numFmtId="0" fontId="186" fillId="0" borderId="0">
      <alignment horizontal="centerContinuous"/>
    </xf>
    <xf numFmtId="240" fontId="59" fillId="110" borderId="2" applyNumberFormat="0" applyFont="0" applyAlignment="0"/>
    <xf numFmtId="240" fontId="59" fillId="110" borderId="2" applyNumberFormat="0" applyFont="0" applyAlignment="0"/>
    <xf numFmtId="240" fontId="59" fillId="110"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5" borderId="0">
      <alignment horizontal="center"/>
    </xf>
    <xf numFmtId="0" fontId="35" fillId="0" borderId="52"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3" applyProtection="0">
      <alignment horizontal="right" wrapText="1"/>
    </xf>
    <xf numFmtId="0" fontId="52" fillId="0" borderId="18" applyNumberFormat="0" applyFill="0" applyAlignment="0" applyProtection="0"/>
    <xf numFmtId="0" fontId="106" fillId="0" borderId="37"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19" applyNumberFormat="0" applyFill="0" applyAlignment="0" applyProtection="0"/>
    <xf numFmtId="0" fontId="107" fillId="0" borderId="38"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4" applyProtection="0">
      <alignment horizontal="right" wrapText="1"/>
    </xf>
    <xf numFmtId="0" fontId="54" fillId="0" borderId="20" applyNumberFormat="0" applyFill="0" applyAlignment="0" applyProtection="0"/>
    <xf numFmtId="0" fontId="108" fillId="0" borderId="39"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6" borderId="0">
      <protection locked="0"/>
    </xf>
    <xf numFmtId="0" fontId="6" fillId="136" borderId="34" applyNumberFormat="0" applyFont="0">
      <alignment horizontal="left"/>
      <protection locked="0"/>
    </xf>
    <xf numFmtId="195" fontId="139" fillId="0" borderId="0" applyFont="0" applyFill="0" applyBorder="0" applyAlignment="0" applyProtection="0"/>
    <xf numFmtId="10" fontId="40" fillId="110" borderId="2" applyNumberFormat="0" applyBorder="0" applyAlignment="0" applyProtection="0"/>
    <xf numFmtId="10" fontId="40" fillId="110" borderId="2" applyNumberFormat="0" applyBorder="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195" fillId="10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95" fillId="1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95" fillId="16" borderId="4" applyNumberFormat="0" applyAlignment="0" applyProtection="0"/>
    <xf numFmtId="0" fontId="6" fillId="97" borderId="0"/>
    <xf numFmtId="0" fontId="51" fillId="106" borderId="14" applyNumberFormat="0" applyAlignment="0" applyProtection="0"/>
    <xf numFmtId="0" fontId="110" fillId="0" borderId="0" applyNumberFormat="0" applyFill="0" applyBorder="0" applyAlignment="0">
      <protection locked="0"/>
    </xf>
    <xf numFmtId="0" fontId="6" fillId="0" borderId="0"/>
    <xf numFmtId="0" fontId="115" fillId="137" borderId="2" applyNumberFormat="0" applyFont="0" applyBorder="0" applyAlignment="0">
      <alignment horizontal="right"/>
    </xf>
    <xf numFmtId="0" fontId="115" fillId="137" borderId="2" applyNumberFormat="0" applyFont="0" applyBorder="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110" fillId="0" borderId="0"/>
    <xf numFmtId="0" fontId="167" fillId="112" borderId="55" applyFont="0">
      <alignment horizontal="left"/>
      <protection locked="0"/>
    </xf>
    <xf numFmtId="164" fontId="167" fillId="136" borderId="0">
      <protection locked="0"/>
    </xf>
    <xf numFmtId="43" fontId="167" fillId="136" borderId="0">
      <protection locked="0"/>
    </xf>
    <xf numFmtId="241" fontId="167" fillId="136"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49" applyFill="0" applyProtection="0">
      <alignment horizontal="centerContinuous"/>
    </xf>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xf numFmtId="0" fontId="59" fillId="0" borderId="32"/>
    <xf numFmtId="0" fontId="59" fillId="0" borderId="32"/>
    <xf numFmtId="0" fontId="59" fillId="0" borderId="32"/>
    <xf numFmtId="0" fontId="59" fillId="0" borderId="32"/>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3" fontId="196" fillId="0" borderId="32"/>
    <xf numFmtId="243" fontId="196" fillId="0" borderId="32"/>
    <xf numFmtId="243" fontId="196" fillId="0" borderId="32"/>
    <xf numFmtId="243" fontId="196" fillId="0" borderId="32"/>
    <xf numFmtId="243" fontId="196" fillId="0" borderId="32"/>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4" fontId="40" fillId="0" borderId="0" applyFill="0" applyBorder="0" applyProtection="0">
      <alignment horizontal="right"/>
    </xf>
    <xf numFmtId="242" fontId="40" fillId="0" borderId="32"/>
    <xf numFmtId="242" fontId="40" fillId="0" borderId="32"/>
    <xf numFmtId="242" fontId="40" fillId="0" borderId="32"/>
    <xf numFmtId="242" fontId="40" fillId="0" borderId="32"/>
    <xf numFmtId="242" fontId="40" fillId="0" borderId="32"/>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1">
      <protection locked="0"/>
    </xf>
    <xf numFmtId="0" fontId="36" fillId="0" borderId="0" applyFill="0" applyProtection="0">
      <alignment horizontal="centerContinuous"/>
    </xf>
    <xf numFmtId="0" fontId="8" fillId="0" borderId="0" applyFill="0" applyProtection="0">
      <alignment horizontal="centerContinuous"/>
    </xf>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0" applyFill="0" applyBorder="0" applyProtection="0"/>
    <xf numFmtId="242" fontId="40" fillId="0" borderId="56" applyFill="0" applyProtection="0"/>
    <xf numFmtId="242" fontId="40" fillId="0" borderId="57"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8"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6" fillId="88" borderId="0"/>
    <xf numFmtId="0" fontId="110" fillId="0" borderId="0"/>
    <xf numFmtId="0" fontId="202" fillId="0" borderId="47">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9" fillId="75" borderId="0" applyNumberFormat="0" applyBorder="0" applyAlignment="0" applyProtection="0"/>
    <xf numFmtId="0" fontId="205" fillId="84"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49" fillId="75" borderId="0" applyNumberFormat="0" applyBorder="0" applyAlignment="0" applyProtection="0"/>
    <xf numFmtId="0" fontId="55" fillId="84" borderId="0" applyNumberFormat="0" applyBorder="0" applyAlignment="0" applyProtection="0"/>
    <xf numFmtId="0" fontId="49" fillId="75"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36" fillId="0" borderId="0"/>
    <xf numFmtId="0" fontId="111" fillId="0" borderId="0"/>
    <xf numFmtId="0" fontId="213" fillId="0" borderId="0"/>
    <xf numFmtId="0" fontId="214" fillId="0" borderId="59"/>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216" fillId="0" borderId="47"/>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6" borderId="2"/>
    <xf numFmtId="0" fontId="36" fillId="136" borderId="2"/>
    <xf numFmtId="0" fontId="36" fillId="136" borderId="2"/>
    <xf numFmtId="255" fontId="36" fillId="136" borderId="2" applyFont="0" applyFill="0" applyBorder="0" applyAlignment="0" applyProtection="0"/>
    <xf numFmtId="255" fontId="36" fillId="136" borderId="2" applyFont="0" applyFill="0" applyBorder="0" applyAlignment="0" applyProtection="0"/>
    <xf numFmtId="0" fontId="111" fillId="0" borderId="0">
      <alignment horizontal="left" vertical="top"/>
      <protection locked="0"/>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96"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40" fontId="217" fillId="100" borderId="0">
      <alignment horizontal="right"/>
    </xf>
    <xf numFmtId="0" fontId="218" fillId="100" borderId="0">
      <alignment horizontal="right"/>
    </xf>
    <xf numFmtId="0" fontId="219" fillId="100" borderId="31"/>
    <xf numFmtId="0" fontId="219" fillId="0" borderId="0" applyBorder="0">
      <alignment horizontal="centerContinuous"/>
    </xf>
    <xf numFmtId="0" fontId="220" fillId="0" borderId="0" applyBorder="0">
      <alignment horizontal="centerContinuous"/>
    </xf>
    <xf numFmtId="0" fontId="57" fillId="96" borderId="23" applyNumberFormat="0" applyAlignment="0" applyProtection="0"/>
    <xf numFmtId="0" fontId="34" fillId="138"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2"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9" borderId="0"/>
    <xf numFmtId="164" fontId="167" fillId="9"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0">
      <alignment horizontal="right"/>
    </xf>
    <xf numFmtId="0" fontId="115" fillId="0" borderId="0">
      <alignment horizontal="right"/>
      <protection locked="0"/>
    </xf>
    <xf numFmtId="0" fontId="227" fillId="0" borderId="0"/>
    <xf numFmtId="37" fontId="36" fillId="96"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1">
      <alignment horizontal="right"/>
    </xf>
    <xf numFmtId="0" fontId="228" fillId="139" borderId="2">
      <alignment horizontal="right"/>
    </xf>
    <xf numFmtId="0" fontId="228" fillId="139" borderId="2">
      <alignment horizontal="right"/>
    </xf>
    <xf numFmtId="0" fontId="228" fillId="139"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0">
      <alignment horizontal="center"/>
    </xf>
    <xf numFmtId="3" fontId="126" fillId="0" borderId="0" applyFont="0" applyFill="0" applyBorder="0" applyAlignment="0" applyProtection="0"/>
    <xf numFmtId="0" fontId="126" fillId="140" borderId="0" applyNumberFormat="0" applyFont="0" applyBorder="0" applyAlignment="0" applyProtection="0"/>
    <xf numFmtId="0" fontId="230" fillId="0" borderId="47"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6" borderId="0" applyFont="0" applyFill="0" applyAlignment="0"/>
    <xf numFmtId="0" fontId="110" fillId="0" borderId="0" applyNumberFormat="0" applyFont="0" applyFill="0" applyBorder="0" applyAlignment="0" applyProtection="0">
      <alignment horizontal="left" indent="1"/>
    </xf>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110" fillId="0" borderId="0">
      <alignment horizontal="center"/>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0" fillId="0" borderId="0">
      <alignment horizontal="center"/>
    </xf>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6"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110"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112" borderId="26" applyNumberFormat="0">
      <protection locked="0"/>
    </xf>
    <xf numFmtId="0" fontId="40" fillId="96"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111" borderId="0"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227" fillId="0" borderId="63"/>
    <xf numFmtId="0" fontId="115" fillId="1" borderId="0" applyNumberFormat="0" applyBorder="0" applyAlignment="0" applyProtection="0"/>
    <xf numFmtId="0" fontId="110" fillId="141"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250" fontId="235" fillId="0" borderId="0" applyNumberFormat="0" applyFill="0" applyBorder="0" applyAlignment="0" applyProtection="0"/>
    <xf numFmtId="250" fontId="113" fillId="142" borderId="0" applyNumberFormat="0" applyFont="0" applyBorder="0" applyAlignment="0" applyProtection="0"/>
    <xf numFmtId="250" fontId="159" fillId="142" borderId="0" applyNumberFormat="0" applyFont="0" applyBorder="0" applyAlignment="0" applyProtection="0"/>
    <xf numFmtId="0" fontId="127" fillId="0" borderId="0" applyFill="0" applyBorder="0" applyProtection="0"/>
    <xf numFmtId="250" fontId="113" fillId="143" borderId="0" applyNumberFormat="0" applyFont="0" applyBorder="0" applyAlignment="0" applyProtection="0"/>
    <xf numFmtId="250" fontId="159" fillId="101" borderId="0" applyNumberFormat="0" applyFont="0" applyBorder="0" applyAlignment="0" applyProtection="0"/>
    <xf numFmtId="250" fontId="113" fillId="143"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3" applyProtection="0">
      <alignment horizontal="right" wrapText="1"/>
    </xf>
    <xf numFmtId="0" fontId="188" fillId="0" borderId="53"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4" applyNumberFormat="0" applyFill="0" applyAlignment="0" applyProtection="0"/>
    <xf numFmtId="250" fontId="238" fillId="0" borderId="65" applyNumberFormat="0" applyFill="0" applyAlignment="0" applyProtection="0"/>
    <xf numFmtId="250" fontId="238" fillId="0" borderId="65"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6" applyNumberFormat="0" applyFill="0" applyAlignment="0" applyProtection="0"/>
    <xf numFmtId="250" fontId="239" fillId="0" borderId="67" applyNumberFormat="0" applyFill="0" applyAlignment="0" applyProtection="0"/>
    <xf numFmtId="0" fontId="39" fillId="144" borderId="0" applyNumberFormat="0" applyBorder="0" applyAlignment="0" applyProtection="0"/>
    <xf numFmtId="0" fontId="6" fillId="0" borderId="0" applyNumberFormat="0" applyFont="0" applyFill="0" applyBorder="0" applyAlignment="0" applyProtection="0"/>
    <xf numFmtId="0" fontId="39" fillId="145" borderId="0" applyNumberFormat="0" applyBorder="0" applyAlignment="0" applyProtection="0"/>
    <xf numFmtId="0" fontId="39" fillId="145" borderId="0" applyNumberFormat="0" applyBorder="0" applyAlignment="0" applyProtection="0"/>
    <xf numFmtId="3"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6"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3" fontId="39" fillId="148" borderId="0" applyNumberFormat="0" applyBorder="0" applyAlignment="0" applyProtection="0"/>
    <xf numFmtId="3" fontId="39" fillId="148" borderId="0" applyNumberFormat="0" applyBorder="0" applyAlignment="0" applyProtection="0"/>
    <xf numFmtId="3" fontId="6" fillId="0" borderId="0" applyNumberFormat="0" applyFont="0" applyFill="0" applyBorder="0" applyAlignment="0" applyProtection="0"/>
    <xf numFmtId="3" fontId="39" fillId="116" borderId="0" applyNumberFormat="0" applyBorder="0" applyAlignment="0" applyProtection="0"/>
    <xf numFmtId="3" fontId="39" fillId="116"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6" borderId="0" applyNumberFormat="0" applyFont="0" applyBorder="0" applyAlignment="0" applyProtection="0"/>
    <xf numFmtId="4" fontId="6" fillId="0" borderId="0" applyFont="0" applyFill="0" applyBorder="0" applyAlignment="0" applyProtection="0"/>
    <xf numFmtId="0" fontId="34" fillId="0" borderId="0"/>
    <xf numFmtId="0" fontId="40" fillId="129"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59" borderId="41">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49"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6" applyNumberFormat="0" applyFill="0" applyBorder="0" applyAlignment="0" applyProtection="0"/>
    <xf numFmtId="0" fontId="6" fillId="0" borderId="46" applyNumberFormat="0" applyFill="0" applyBorder="0" applyAlignment="0" applyProtection="0"/>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0" fontId="245" fillId="150" borderId="0"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8"/>
    <xf numFmtId="0" fontId="115" fillId="0" borderId="0">
      <alignment horizontal="centerContinuous"/>
      <protection locked="0"/>
    </xf>
    <xf numFmtId="0" fontId="115" fillId="0" borderId="0">
      <alignment horizontal="left"/>
    </xf>
    <xf numFmtId="0" fontId="250" fillId="149" borderId="41">
      <alignment vertical="center"/>
    </xf>
    <xf numFmtId="0" fontId="251" fillId="0" borderId="0">
      <alignment horizontal="center"/>
    </xf>
    <xf numFmtId="195" fontId="226" fillId="0" borderId="0" applyNumberFormat="0" applyFill="0" applyBorder="0" applyAlignment="0" applyProtection="0"/>
    <xf numFmtId="0" fontId="128" fillId="51" borderId="47"/>
    <xf numFmtId="0" fontId="252" fillId="0" borderId="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37" fontId="40" fillId="86" borderId="0" applyNumberFormat="0" applyBorder="0" applyAlignment="0" applyProtection="0"/>
    <xf numFmtId="37" fontId="40" fillId="0" borderId="0"/>
    <xf numFmtId="3" fontId="197" fillId="0" borderId="69"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10" fontId="6" fillId="121" borderId="2" applyNumberFormat="0" applyFont="0" applyBorder="0" applyAlignment="0" applyProtection="0">
      <protection locked="0"/>
    </xf>
    <xf numFmtId="10" fontId="6" fillId="121"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1" borderId="0" applyNumberFormat="0" applyProtection="0">
      <alignment horizontal="lef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0" borderId="0" applyFont="0" applyFill="0" applyBorder="0" applyAlignment="0" applyProtection="0"/>
    <xf numFmtId="0" fontId="36" fillId="136" borderId="0" applyFont="0" applyFill="0" applyBorder="0" applyAlignment="0" applyProtection="0">
      <alignment horizontal="center"/>
    </xf>
    <xf numFmtId="0" fontId="1" fillId="0" borderId="0"/>
    <xf numFmtId="0" fontId="51" fillId="50" borderId="14" applyNumberFormat="0" applyAlignment="0" applyProtection="0"/>
    <xf numFmtId="0" fontId="51" fillId="50" borderId="14" applyNumberFormat="0" applyAlignment="0" applyProtection="0"/>
    <xf numFmtId="0" fontId="1" fillId="0" borderId="0"/>
    <xf numFmtId="0" fontId="1" fillId="0" borderId="0"/>
    <xf numFmtId="0" fontId="1" fillId="0" borderId="0"/>
    <xf numFmtId="0" fontId="1" fillId="0" borderId="0"/>
    <xf numFmtId="0" fontId="1"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4" fontId="40" fillId="87" borderId="15" applyNumberFormat="0" applyProtection="0">
      <alignment horizontal="left" vertical="center" indent="1"/>
    </xf>
    <xf numFmtId="4" fontId="40" fillId="87" borderId="15"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2" fillId="67" borderId="0" applyNumberFormat="0" applyBorder="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1" fillId="0" borderId="0"/>
    <xf numFmtId="4" fontId="40" fillId="87" borderId="15" applyNumberFormat="0" applyProtection="0">
      <alignment horizontal="left" vertical="center" indent="1"/>
    </xf>
    <xf numFmtId="0" fontId="1" fillId="0" borderId="0"/>
    <xf numFmtId="0" fontId="1" fillId="0" borderId="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112" borderId="25" applyNumberFormat="0" applyProtection="0">
      <alignment horizontal="left" vertical="center" indent="1"/>
    </xf>
    <xf numFmtId="4" fontId="40" fillId="112"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173" fontId="6" fillId="153" borderId="0">
      <alignment vertical="top"/>
    </xf>
    <xf numFmtId="0" fontId="2" fillId="0" borderId="0"/>
    <xf numFmtId="0" fontId="1" fillId="0" borderId="0"/>
    <xf numFmtId="41" fontId="6" fillId="153" borderId="0">
      <alignment vertical="top"/>
    </xf>
    <xf numFmtId="173" fontId="6" fillId="12" borderId="0" applyFont="0" applyFill="0" applyBorder="0" applyProtection="0"/>
  </cellStyleXfs>
  <cellXfs count="127">
    <xf numFmtId="0" fontId="0" fillId="0" borderId="0" xfId="0">
      <alignment vertical="top"/>
    </xf>
    <xf numFmtId="0" fontId="6" fillId="0" borderId="0" xfId="4" applyAlignment="1">
      <alignment horizontal="left" vertical="top" wrapText="1"/>
    </xf>
    <xf numFmtId="0" fontId="7" fillId="0" borderId="0" xfId="4" applyFont="1">
      <alignment vertical="top"/>
    </xf>
    <xf numFmtId="0" fontId="6" fillId="0" borderId="0" xfId="4">
      <alignment vertical="top"/>
    </xf>
    <xf numFmtId="0" fontId="10" fillId="0" borderId="0" xfId="4" applyFont="1">
      <alignment vertical="top"/>
    </xf>
    <xf numFmtId="0" fontId="11" fillId="0" borderId="0" xfId="4" applyFont="1">
      <alignment vertical="top"/>
    </xf>
    <xf numFmtId="49" fontId="7" fillId="20" borderId="1" xfId="6">
      <alignment vertical="top"/>
    </xf>
    <xf numFmtId="0" fontId="6" fillId="7" borderId="0" xfId="4" applyFill="1">
      <alignment vertical="top"/>
    </xf>
    <xf numFmtId="0" fontId="9" fillId="5" borderId="1" xfId="5" applyNumberFormat="1">
      <alignment vertical="top"/>
    </xf>
    <xf numFmtId="0" fontId="14" fillId="0" borderId="0" xfId="4" applyFont="1">
      <alignment vertical="top"/>
    </xf>
    <xf numFmtId="0" fontId="6" fillId="15" borderId="0" xfId="4" applyFill="1">
      <alignment vertical="top"/>
    </xf>
    <xf numFmtId="49" fontId="7" fillId="0" borderId="0" xfId="7">
      <alignment vertical="top"/>
    </xf>
    <xf numFmtId="49" fontId="10" fillId="0" borderId="0" xfId="15">
      <alignment vertical="top"/>
    </xf>
    <xf numFmtId="9" fontId="6" fillId="0" borderId="0" xfId="4" applyNumberFormat="1">
      <alignment vertical="top"/>
    </xf>
    <xf numFmtId="43" fontId="12" fillId="0" borderId="0" xfId="63" applyFont="1" applyFill="1">
      <alignment vertical="top"/>
    </xf>
    <xf numFmtId="10" fontId="6" fillId="0" borderId="0" xfId="64">
      <alignment vertical="top"/>
    </xf>
    <xf numFmtId="10" fontId="6" fillId="0" borderId="0" xfId="64" applyFill="1">
      <alignment vertical="top"/>
    </xf>
    <xf numFmtId="166" fontId="6" fillId="12" borderId="0" xfId="63" applyNumberFormat="1" applyFill="1">
      <alignment vertical="top"/>
    </xf>
    <xf numFmtId="49" fontId="6" fillId="0" borderId="0" xfId="7" applyFont="1">
      <alignment vertical="top"/>
    </xf>
    <xf numFmtId="10" fontId="6" fillId="12" borderId="0" xfId="64" applyFill="1">
      <alignment vertical="top"/>
    </xf>
    <xf numFmtId="164" fontId="6" fillId="12" borderId="0" xfId="9" applyNumberFormat="1">
      <alignment vertical="top"/>
    </xf>
    <xf numFmtId="166" fontId="6" fillId="14" borderId="0" xfId="63" applyNumberFormat="1" applyFill="1">
      <alignment vertical="top"/>
    </xf>
    <xf numFmtId="49" fontId="7" fillId="20" borderId="3" xfId="6" applyBorder="1">
      <alignment vertical="top"/>
    </xf>
    <xf numFmtId="49" fontId="7" fillId="20" borderId="32" xfId="6" applyBorder="1">
      <alignment vertical="top"/>
    </xf>
    <xf numFmtId="49" fontId="7" fillId="20" borderId="0" xfId="6" applyBorder="1">
      <alignment vertical="top"/>
    </xf>
    <xf numFmtId="0" fontId="6" fillId="14" borderId="0" xfId="4" applyFill="1">
      <alignment vertical="top"/>
    </xf>
    <xf numFmtId="164" fontId="6" fillId="14" borderId="0" xfId="63" applyNumberFormat="1" applyFill="1">
      <alignment vertical="top"/>
    </xf>
    <xf numFmtId="164" fontId="6" fillId="12" borderId="0" xfId="63" applyNumberFormat="1" applyFill="1">
      <alignment vertical="top"/>
    </xf>
    <xf numFmtId="164" fontId="31" fillId="7" borderId="0" xfId="63" applyNumberFormat="1" applyFont="1" applyFill="1">
      <alignment vertical="top"/>
    </xf>
    <xf numFmtId="0" fontId="7" fillId="20" borderId="1" xfId="6" applyNumberFormat="1">
      <alignment vertical="top"/>
    </xf>
    <xf numFmtId="0" fontId="7" fillId="20" borderId="1" xfId="6" applyNumberFormat="1" applyAlignment="1">
      <alignment horizontal="right" vertical="top"/>
    </xf>
    <xf numFmtId="262" fontId="6" fillId="14" borderId="0" xfId="4" applyNumberFormat="1" applyFill="1">
      <alignment vertical="top"/>
    </xf>
    <xf numFmtId="166" fontId="6" fillId="13" borderId="0" xfId="63" applyNumberFormat="1" applyFill="1">
      <alignment vertical="top"/>
    </xf>
    <xf numFmtId="10" fontId="6" fillId="14" borderId="0" xfId="64" applyFill="1">
      <alignment vertical="top"/>
    </xf>
    <xf numFmtId="9" fontId="6" fillId="14" borderId="0" xfId="4" applyNumberFormat="1" applyFill="1">
      <alignment vertical="top"/>
    </xf>
    <xf numFmtId="0" fontId="6" fillId="0" borderId="0" xfId="4" applyAlignment="1">
      <alignment vertical="center"/>
    </xf>
    <xf numFmtId="49" fontId="7" fillId="20" borderId="3" xfId="6" applyBorder="1" applyAlignment="1">
      <alignment vertical="center"/>
    </xf>
    <xf numFmtId="49" fontId="7" fillId="20" borderId="0" xfId="6" applyBorder="1" applyAlignment="1">
      <alignment vertical="center"/>
    </xf>
    <xf numFmtId="49" fontId="7" fillId="20" borderId="32" xfId="6" applyBorder="1" applyAlignment="1">
      <alignment vertical="center"/>
    </xf>
    <xf numFmtId="262" fontId="6" fillId="13"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6" borderId="0" xfId="4" applyFill="1">
      <alignment vertical="top"/>
    </xf>
    <xf numFmtId="164" fontId="6" fillId="7" borderId="0" xfId="63" applyNumberFormat="1" applyFill="1">
      <alignment vertical="top"/>
    </xf>
    <xf numFmtId="164" fontId="6" fillId="13" borderId="0" xfId="4" applyNumberFormat="1" applyFill="1">
      <alignment vertical="top"/>
    </xf>
    <xf numFmtId="0" fontId="6" fillId="0" borderId="0" xfId="4" applyAlignment="1">
      <alignment horizontal="left" vertical="top"/>
    </xf>
    <xf numFmtId="10" fontId="6" fillId="6" borderId="0" xfId="64" applyFill="1">
      <alignment vertical="top"/>
    </xf>
    <xf numFmtId="10" fontId="6" fillId="6" borderId="0" xfId="4" applyNumberFormat="1" applyFill="1">
      <alignment vertical="top"/>
    </xf>
    <xf numFmtId="0" fontId="28" fillId="0" borderId="0" xfId="0" applyFont="1" applyAlignment="1"/>
    <xf numFmtId="3" fontId="6" fillId="0" borderId="0" xfId="4" applyNumberFormat="1">
      <alignment vertical="top"/>
    </xf>
    <xf numFmtId="164" fontId="6" fillId="14" borderId="0" xfId="63" applyNumberFormat="1" applyFont="1" applyFill="1">
      <alignment vertical="top"/>
    </xf>
    <xf numFmtId="164" fontId="6" fillId="0" borderId="0" xfId="63" applyNumberFormat="1" applyFill="1">
      <alignment vertical="top"/>
    </xf>
    <xf numFmtId="264" fontId="6" fillId="13" borderId="0" xfId="63" applyNumberFormat="1" applyFill="1">
      <alignment vertical="top"/>
    </xf>
    <xf numFmtId="0" fontId="256" fillId="0" borderId="0" xfId="4" applyFont="1">
      <alignment vertical="top"/>
    </xf>
    <xf numFmtId="49" fontId="7" fillId="20"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166" fontId="6" fillId="0" borderId="0" xfId="4" applyNumberFormat="1">
      <alignment vertical="top"/>
    </xf>
    <xf numFmtId="166" fontId="6" fillId="13" borderId="0" xfId="63" applyNumberFormat="1" applyFill="1" applyAlignment="1">
      <alignment horizontal="right" vertical="center"/>
    </xf>
    <xf numFmtId="262" fontId="6" fillId="13" borderId="0" xfId="63" applyNumberFormat="1" applyFill="1" applyAlignment="1">
      <alignment vertical="top"/>
    </xf>
    <xf numFmtId="0" fontId="6" fillId="0" borderId="0" xfId="4" applyAlignment="1">
      <alignment horizontal="right" vertical="center"/>
    </xf>
    <xf numFmtId="10" fontId="6" fillId="0" borderId="0" xfId="64" applyFont="1">
      <alignment vertical="top"/>
    </xf>
    <xf numFmtId="166" fontId="6" fillId="7" borderId="0" xfId="63" applyNumberFormat="1" applyFill="1">
      <alignment vertical="top"/>
    </xf>
    <xf numFmtId="213" fontId="6" fillId="0" borderId="0" xfId="4" applyNumberFormat="1">
      <alignment vertical="top"/>
    </xf>
    <xf numFmtId="265" fontId="6" fillId="0" borderId="0" xfId="4" applyNumberFormat="1">
      <alignment vertical="top"/>
    </xf>
    <xf numFmtId="266" fontId="6" fillId="0" borderId="0" xfId="4" applyNumberFormat="1">
      <alignment vertical="top"/>
    </xf>
    <xf numFmtId="267" fontId="6" fillId="10" borderId="0" xfId="10" applyNumberFormat="1">
      <alignment vertical="top"/>
    </xf>
    <xf numFmtId="267" fontId="6" fillId="0" borderId="0" xfId="4" applyNumberFormat="1">
      <alignment vertical="top"/>
    </xf>
    <xf numFmtId="267" fontId="7" fillId="20" borderId="3" xfId="6" applyNumberFormat="1" applyBorder="1">
      <alignment vertical="top"/>
    </xf>
    <xf numFmtId="267" fontId="7" fillId="20" borderId="0" xfId="6" applyNumberFormat="1" applyBorder="1">
      <alignment vertical="top"/>
    </xf>
    <xf numFmtId="267" fontId="7" fillId="20" borderId="32" xfId="6" applyNumberFormat="1" applyBorder="1">
      <alignment vertical="top"/>
    </xf>
    <xf numFmtId="213" fontId="6" fillId="10" borderId="0" xfId="10" applyNumberFormat="1">
      <alignment vertical="top"/>
    </xf>
    <xf numFmtId="213" fontId="7" fillId="20" borderId="3" xfId="6" applyNumberFormat="1" applyBorder="1">
      <alignment vertical="top"/>
    </xf>
    <xf numFmtId="213" fontId="7" fillId="20" borderId="0" xfId="6" applyNumberFormat="1" applyBorder="1">
      <alignment vertical="top"/>
    </xf>
    <xf numFmtId="213" fontId="7" fillId="20" borderId="32" xfId="6" applyNumberFormat="1" applyBorder="1">
      <alignment vertical="top"/>
    </xf>
    <xf numFmtId="267" fontId="6" fillId="13" borderId="0" xfId="63" applyNumberFormat="1" applyFill="1" applyAlignment="1">
      <alignment horizontal="right" vertical="center"/>
    </xf>
    <xf numFmtId="267" fontId="6" fillId="0" borderId="0" xfId="4" applyNumberFormat="1" applyAlignment="1">
      <alignment vertical="center"/>
    </xf>
    <xf numFmtId="267" fontId="7" fillId="20" borderId="3" xfId="6" applyNumberFormat="1" applyBorder="1" applyAlignment="1">
      <alignment vertical="center"/>
    </xf>
    <xf numFmtId="267" fontId="7" fillId="20" borderId="0" xfId="6" applyNumberFormat="1" applyBorder="1" applyAlignment="1">
      <alignment vertical="center"/>
    </xf>
    <xf numFmtId="267" fontId="7" fillId="20" borderId="32" xfId="6" applyNumberFormat="1" applyBorder="1" applyAlignment="1">
      <alignment vertical="center"/>
    </xf>
    <xf numFmtId="267" fontId="6" fillId="0" borderId="0" xfId="63" applyNumberFormat="1" applyFill="1" applyAlignment="1">
      <alignment vertical="center"/>
    </xf>
    <xf numFmtId="267" fontId="6" fillId="13" borderId="0" xfId="63" applyNumberFormat="1" applyFill="1">
      <alignment vertical="top"/>
    </xf>
    <xf numFmtId="268" fontId="6" fillId="0" borderId="0" xfId="4" applyNumberFormat="1" applyAlignment="1">
      <alignment vertical="center"/>
    </xf>
    <xf numFmtId="268" fontId="7" fillId="20" borderId="3" xfId="6" applyNumberFormat="1" applyBorder="1" applyAlignment="1">
      <alignment vertical="center"/>
    </xf>
    <xf numFmtId="268" fontId="7" fillId="20" borderId="0" xfId="6" applyNumberFormat="1" applyBorder="1" applyAlignment="1">
      <alignment vertical="center"/>
    </xf>
    <xf numFmtId="268" fontId="7" fillId="20" borderId="32" xfId="6" applyNumberFormat="1" applyBorder="1" applyAlignment="1">
      <alignment vertical="center"/>
    </xf>
    <xf numFmtId="268" fontId="6" fillId="0" borderId="0" xfId="63" applyNumberFormat="1" applyFill="1" applyAlignment="1">
      <alignment vertical="center"/>
    </xf>
    <xf numFmtId="268" fontId="7" fillId="20" borderId="3" xfId="6" applyNumberFormat="1" applyBorder="1">
      <alignment vertical="top"/>
    </xf>
    <xf numFmtId="268" fontId="7" fillId="20" borderId="0" xfId="6" applyNumberFormat="1" applyBorder="1">
      <alignment vertical="top"/>
    </xf>
    <xf numFmtId="268" fontId="7" fillId="20" borderId="32" xfId="6" applyNumberFormat="1" applyBorder="1">
      <alignment vertical="top"/>
    </xf>
    <xf numFmtId="268" fontId="6" fillId="0" borderId="0" xfId="4" applyNumberFormat="1">
      <alignment vertical="top"/>
    </xf>
    <xf numFmtId="164" fontId="6" fillId="153" borderId="0" xfId="63" applyNumberFormat="1" applyFill="1">
      <alignment vertical="top"/>
    </xf>
    <xf numFmtId="213" fontId="6" fillId="0" borderId="0" xfId="10" applyNumberFormat="1" applyFill="1">
      <alignment vertical="top"/>
    </xf>
    <xf numFmtId="262" fontId="6" fillId="13" borderId="0" xfId="10" applyNumberFormat="1" applyFill="1">
      <alignment vertical="top"/>
    </xf>
    <xf numFmtId="164" fontId="0" fillId="7" borderId="0" xfId="63" applyNumberFormat="1" applyFont="1" applyFill="1">
      <alignment vertical="top"/>
    </xf>
    <xf numFmtId="0" fontId="6" fillId="10" borderId="0" xfId="4" applyFill="1">
      <alignment vertical="top"/>
    </xf>
    <xf numFmtId="43" fontId="6" fillId="7" borderId="0" xfId="63" applyFill="1">
      <alignment vertical="top"/>
    </xf>
    <xf numFmtId="264" fontId="6" fillId="7" borderId="0" xfId="63" applyNumberFormat="1" applyFill="1">
      <alignment vertical="top"/>
    </xf>
    <xf numFmtId="43" fontId="12" fillId="7" borderId="0" xfId="63" applyFont="1" applyFill="1">
      <alignment vertical="top"/>
    </xf>
    <xf numFmtId="262" fontId="6" fillId="6" borderId="0" xfId="4" applyNumberFormat="1" applyFill="1">
      <alignment vertical="top"/>
    </xf>
    <xf numFmtId="3" fontId="6" fillId="6" borderId="0" xfId="63" applyNumberFormat="1" applyFill="1">
      <alignment vertical="top"/>
    </xf>
    <xf numFmtId="0" fontId="7" fillId="10" borderId="0" xfId="4" applyFont="1" applyFill="1">
      <alignment vertical="top"/>
    </xf>
    <xf numFmtId="10" fontId="6" fillId="10" borderId="0" xfId="64" applyFill="1">
      <alignment vertical="top"/>
    </xf>
    <xf numFmtId="0" fontId="7" fillId="10" borderId="0" xfId="4" applyFont="1" applyFill="1" applyAlignment="1">
      <alignment vertical="top" wrapText="1"/>
    </xf>
    <xf numFmtId="269" fontId="6" fillId="0" borderId="0" xfId="4" applyNumberFormat="1">
      <alignment vertical="top"/>
    </xf>
    <xf numFmtId="267" fontId="6" fillId="13" borderId="0" xfId="63" applyNumberFormat="1" applyFill="1" applyAlignment="1">
      <alignment vertical="top"/>
    </xf>
    <xf numFmtId="3" fontId="6" fillId="153" borderId="0" xfId="4" applyNumberFormat="1" applyFill="1">
      <alignment vertical="top"/>
    </xf>
    <xf numFmtId="270" fontId="6" fillId="14" borderId="0" xfId="63" applyNumberFormat="1" applyFill="1">
      <alignment vertical="top"/>
    </xf>
    <xf numFmtId="270" fontId="6" fillId="13" borderId="0" xfId="63" applyNumberFormat="1" applyFill="1">
      <alignment vertical="top"/>
    </xf>
    <xf numFmtId="271" fontId="6" fillId="0" borderId="0" xfId="4" applyNumberFormat="1">
      <alignment vertical="top"/>
    </xf>
    <xf numFmtId="270" fontId="6" fillId="14" borderId="0" xfId="63" applyNumberFormat="1" applyFont="1" applyFill="1">
      <alignment vertical="top"/>
    </xf>
    <xf numFmtId="49" fontId="7" fillId="20" borderId="3" xfId="6" applyBorder="1" applyAlignment="1">
      <alignment vertical="top"/>
    </xf>
    <xf numFmtId="0" fontId="6" fillId="0" borderId="0" xfId="4" applyAlignment="1">
      <alignment horizontal="left" vertical="top" wrapText="1"/>
    </xf>
    <xf numFmtId="262" fontId="6" fillId="13" borderId="0" xfId="4" applyNumberFormat="1" applyFill="1" applyAlignment="1">
      <alignment horizontal="right" vertical="center"/>
    </xf>
    <xf numFmtId="166" fontId="6" fillId="13" borderId="0" xfId="63" applyNumberFormat="1" applyFill="1" applyAlignment="1">
      <alignment horizontal="right" vertical="center"/>
    </xf>
    <xf numFmtId="0" fontId="6" fillId="0" borderId="0" xfId="4" applyAlignment="1">
      <alignment horizontal="left" vertical="top"/>
    </xf>
    <xf numFmtId="262" fontId="6" fillId="13" borderId="0" xfId="63" applyNumberFormat="1" applyFill="1" applyAlignment="1">
      <alignment horizontal="right" vertical="center"/>
    </xf>
    <xf numFmtId="166" fontId="6" fillId="13" borderId="0" xfId="63" applyNumberFormat="1" applyFill="1" applyAlignment="1">
      <alignment vertical="center"/>
    </xf>
    <xf numFmtId="262" fontId="6" fillId="13" borderId="0" xfId="4" applyNumberFormat="1" applyFill="1" applyAlignment="1">
      <alignment vertical="center"/>
    </xf>
    <xf numFmtId="262" fontId="6" fillId="13" borderId="0" xfId="63" applyNumberFormat="1" applyFill="1" applyAlignment="1">
      <alignment vertical="center"/>
    </xf>
    <xf numFmtId="262" fontId="6" fillId="13" borderId="0" xfId="4" applyNumberFormat="1" applyFill="1" applyAlignment="1">
      <alignment horizontal="center" vertical="center"/>
    </xf>
    <xf numFmtId="262" fontId="6" fillId="13" borderId="0" xfId="63" applyNumberFormat="1" applyFill="1" applyAlignment="1">
      <alignment horizontal="center" vertical="center"/>
    </xf>
    <xf numFmtId="263" fontId="6" fillId="0" borderId="0" xfId="4" applyNumberFormat="1" applyAlignment="1">
      <alignment horizontal="left" vertical="top" wrapText="1"/>
    </xf>
  </cellXfs>
  <cellStyles count="50036">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4" xr:uid="{C603D2CD-DAC9-49A5-A8DA-74145E99A1A7}"/>
    <cellStyle name="Cel Input" xfId="11" xr:uid="{00000000-0005-0000-0000-0000660B0000}"/>
    <cellStyle name="Cel Input Data" xfId="50031"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5"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2"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3"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1">
    <dxf>
      <fill>
        <patternFill>
          <bgColor rgb="FFCCCCFF"/>
        </patternFill>
      </fill>
    </dxf>
  </dxfs>
  <tableStyles count="1" defaultTableStyle="TableStyleMedium2" defaultPivotStyle="PivotStyleLight16">
    <tableStyle name="Tabelstijl 1" pivot="0" count="1" xr9:uid="{5451145C-A42F-4D8F-85E0-C4016193A675}">
      <tableStyleElement type="wholeTable" dxfId="0"/>
    </tableStyle>
  </tableStyles>
  <colors>
    <mruColors>
      <color rgb="FF99FF99"/>
      <color rgb="FFCCFFCC"/>
      <color rgb="FFFFFFCC"/>
      <color rgb="FFCCFFFF"/>
      <color rgb="FFFFCCFF"/>
      <color rgb="FFFFCC99"/>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79"/>
  <sheetViews>
    <sheetView showGridLines="0" tabSelected="1" zoomScale="85" zoomScaleNormal="85" workbookViewId="0">
      <pane xSplit="6" ySplit="10" topLeftCell="G11" activePane="bottomRight" state="frozen"/>
      <selection pane="topRight" activeCell="C40" sqref="C40"/>
      <selection pane="bottomLeft" activeCell="C40" sqref="C40"/>
      <selection pane="bottomRight" activeCell="G11" sqref="G11"/>
    </sheetView>
  </sheetViews>
  <sheetFormatPr defaultColWidth="9.140625" defaultRowHeight="12.75"/>
  <cols>
    <col min="1" max="1" width="2.5703125" style="3" customWidth="1"/>
    <col min="2" max="2" width="45.5703125" style="3" customWidth="1"/>
    <col min="3" max="5" width="2.5703125" style="3" customWidth="1"/>
    <col min="6" max="6" width="25.5703125" style="3" customWidth="1"/>
    <col min="7" max="7" width="2.5703125" style="3" customWidth="1"/>
    <col min="8" max="8" width="17.42578125" style="3" bestFit="1" customWidth="1"/>
    <col min="9" max="9" width="21.5703125" style="3" bestFit="1" customWidth="1"/>
    <col min="10" max="10" width="20" style="3" bestFit="1" customWidth="1"/>
    <col min="11" max="11" width="17" style="3" bestFit="1" customWidth="1"/>
    <col min="12" max="12" width="16.5703125" style="3" bestFit="1" customWidth="1"/>
    <col min="13" max="13" width="18.5703125" style="3" customWidth="1"/>
    <col min="14" max="14" width="17.42578125" style="3" bestFit="1" customWidth="1"/>
    <col min="15" max="15" width="21.5703125" style="3" bestFit="1" customWidth="1"/>
    <col min="16" max="16" width="20" style="3" bestFit="1" customWidth="1"/>
    <col min="17" max="17" width="17" style="3" bestFit="1" customWidth="1"/>
    <col min="18" max="18" width="16.5703125" style="3" bestFit="1" customWidth="1"/>
    <col min="19" max="19" width="15.5703125" style="3" customWidth="1"/>
    <col min="20" max="20" width="17.85546875" style="3" bestFit="1" customWidth="1"/>
    <col min="21" max="34" width="13.5703125" style="3" customWidth="1"/>
    <col min="35" max="16384" width="9.140625" style="3"/>
  </cols>
  <sheetData>
    <row r="2" spans="2:24" s="8" customFormat="1" ht="18">
      <c r="B2" s="8" t="s">
        <v>172</v>
      </c>
    </row>
    <row r="4" spans="2:24">
      <c r="B4" s="11" t="s">
        <v>0</v>
      </c>
      <c r="C4" s="2"/>
      <c r="D4" s="2"/>
      <c r="E4" s="2"/>
    </row>
    <row r="5" spans="2:24" ht="91.5" customHeight="1">
      <c r="B5" s="116" t="s">
        <v>1</v>
      </c>
      <c r="C5" s="119"/>
      <c r="D5" s="119"/>
      <c r="E5" s="119"/>
      <c r="F5" s="119"/>
    </row>
    <row r="6" spans="2:24">
      <c r="B6" s="1"/>
      <c r="C6" s="45"/>
      <c r="D6" s="45"/>
      <c r="E6" s="45"/>
      <c r="F6" s="45"/>
    </row>
    <row r="7" spans="2:24">
      <c r="B7" s="12" t="s">
        <v>2</v>
      </c>
      <c r="E7" s="45"/>
      <c r="F7" s="45"/>
    </row>
    <row r="8" spans="2:24" ht="63.75">
      <c r="B8" s="116" t="s">
        <v>173</v>
      </c>
      <c r="C8" s="116"/>
      <c r="D8" s="116"/>
      <c r="E8" s="116"/>
      <c r="F8" s="116"/>
      <c r="H8" s="107" t="s">
        <v>3</v>
      </c>
      <c r="J8" s="105" t="s">
        <v>4</v>
      </c>
      <c r="K8" s="99"/>
    </row>
    <row r="9" spans="2:24">
      <c r="B9" s="4"/>
    </row>
    <row r="10" spans="2:24" s="6" customFormat="1" ht="12.75" customHeight="1">
      <c r="B10" s="6" t="s">
        <v>5</v>
      </c>
    </row>
    <row r="12" spans="2:24" s="22" customFormat="1" ht="12.75" customHeight="1">
      <c r="B12" s="22" t="s">
        <v>6</v>
      </c>
      <c r="H12" s="22" t="s">
        <v>7</v>
      </c>
      <c r="N12" s="22" t="s">
        <v>8</v>
      </c>
      <c r="T12" s="22" t="s">
        <v>9</v>
      </c>
    </row>
    <row r="13" spans="2:24" s="24" customFormat="1">
      <c r="B13" s="24" t="s">
        <v>10</v>
      </c>
      <c r="H13" s="24" t="s">
        <v>11</v>
      </c>
      <c r="I13" s="24" t="s">
        <v>12</v>
      </c>
      <c r="J13" s="24" t="s">
        <v>13</v>
      </c>
      <c r="K13" s="24" t="s">
        <v>14</v>
      </c>
      <c r="L13" s="24" t="s">
        <v>15</v>
      </c>
      <c r="N13" s="24" t="s">
        <v>11</v>
      </c>
      <c r="O13" s="24" t="s">
        <v>12</v>
      </c>
      <c r="P13" s="24" t="s">
        <v>13</v>
      </c>
      <c r="Q13" s="24" t="s">
        <v>14</v>
      </c>
      <c r="R13" s="24" t="s">
        <v>15</v>
      </c>
      <c r="T13" s="24" t="s">
        <v>11</v>
      </c>
      <c r="U13" s="24" t="s">
        <v>12</v>
      </c>
      <c r="V13" s="24" t="s">
        <v>13</v>
      </c>
      <c r="W13" s="24" t="s">
        <v>14</v>
      </c>
      <c r="X13" s="24" t="s">
        <v>15</v>
      </c>
    </row>
    <row r="14" spans="2:24" s="23" customFormat="1">
      <c r="H14" s="23" t="s">
        <v>16</v>
      </c>
      <c r="I14" s="23" t="s">
        <v>17</v>
      </c>
      <c r="J14" s="23" t="s">
        <v>18</v>
      </c>
      <c r="K14" s="23" t="s">
        <v>19</v>
      </c>
      <c r="L14" s="23" t="s">
        <v>20</v>
      </c>
      <c r="N14" s="23" t="s">
        <v>16</v>
      </c>
      <c r="O14" s="23" t="s">
        <v>17</v>
      </c>
      <c r="P14" s="23" t="s">
        <v>18</v>
      </c>
      <c r="Q14" s="23" t="s">
        <v>19</v>
      </c>
      <c r="R14" s="23" t="s">
        <v>20</v>
      </c>
      <c r="T14" s="23" t="s">
        <v>16</v>
      </c>
      <c r="U14" s="23" t="s">
        <v>17</v>
      </c>
      <c r="V14" s="23" t="s">
        <v>18</v>
      </c>
      <c r="W14" s="23" t="s">
        <v>19</v>
      </c>
      <c r="X14" s="23" t="s">
        <v>20</v>
      </c>
    </row>
    <row r="16" spans="2:24">
      <c r="B16" s="35" t="s">
        <v>21</v>
      </c>
      <c r="C16" s="35"/>
      <c r="D16" s="35"/>
      <c r="E16" s="35"/>
      <c r="F16" s="35"/>
      <c r="G16" s="35"/>
      <c r="H16" s="117">
        <f>'8. Entry- en exittarieven '!H93</f>
        <v>4.7394539999999999E-2</v>
      </c>
      <c r="I16" s="118">
        <f>'8. Entry- en exittarieven '!I93</f>
        <v>2.1648919999999999E-2</v>
      </c>
      <c r="J16" s="62">
        <f>'8. Entry- en exittarieven '!J93</f>
        <v>1.0355059999999999E-2</v>
      </c>
      <c r="K16" s="62">
        <f>'8. Entry- en exittarieven '!K93</f>
        <v>4.0288999999999999E-4</v>
      </c>
      <c r="L16" s="79">
        <f>'8. Entry- en exittarieven '!L93</f>
        <v>1.679E-5</v>
      </c>
      <c r="M16" s="64"/>
      <c r="N16" s="117">
        <f>'8. Entry- en exittarieven '!N93</f>
        <v>1.1848640000000001E-2</v>
      </c>
      <c r="O16" s="118">
        <f>'8. Entry- en exittarieven '!O93</f>
        <v>5.4122299999999996E-3</v>
      </c>
      <c r="P16" s="62">
        <f>'8. Entry- en exittarieven '!P93</f>
        <v>2.5887599999999998E-3</v>
      </c>
      <c r="Q16" s="62">
        <f>'8. Entry- en exittarieven '!Q93</f>
        <v>1.0072E-4</v>
      </c>
      <c r="R16" s="79">
        <f>'8. Entry- en exittarieven '!R93</f>
        <v>4.1999999999999996E-6</v>
      </c>
      <c r="T16" s="118">
        <f>'8. Entry- en exittarieven '!T93</f>
        <v>3.7915629999999999E-2</v>
      </c>
      <c r="U16" s="118">
        <f>'8. Entry- en exittarieven '!U93</f>
        <v>1.7319129999999999E-2</v>
      </c>
      <c r="V16" s="32">
        <f>'8. Entry- en exittarieven '!V93</f>
        <v>8.2840499999999994E-3</v>
      </c>
      <c r="W16" s="32">
        <f>'8. Entry- en exittarieven '!W93</f>
        <v>3.2231000000000002E-4</v>
      </c>
      <c r="X16" s="85">
        <f>'8. Entry- en exittarieven '!X93</f>
        <v>1.343E-5</v>
      </c>
    </row>
    <row r="17" spans="2:24">
      <c r="B17" s="35" t="s">
        <v>22</v>
      </c>
      <c r="C17" s="35"/>
      <c r="D17" s="35"/>
      <c r="E17" s="35"/>
      <c r="F17" s="35"/>
      <c r="G17" s="35"/>
      <c r="H17" s="117"/>
      <c r="I17" s="118"/>
      <c r="J17" s="62">
        <f>'8. Entry- en exittarieven '!J94</f>
        <v>8.3604000000000005E-3</v>
      </c>
      <c r="K17" s="62">
        <f>'8. Entry- en exittarieven '!K94</f>
        <v>3.6016999999999999E-4</v>
      </c>
      <c r="L17" s="79">
        <f>'8. Entry- en exittarieven '!L94</f>
        <v>1.501E-5</v>
      </c>
      <c r="M17" s="64"/>
      <c r="N17" s="117"/>
      <c r="O17" s="118"/>
      <c r="P17" s="62">
        <f>'8. Entry- en exittarieven '!P94</f>
        <v>2.0901000000000001E-3</v>
      </c>
      <c r="Q17" s="62">
        <f>'8. Entry- en exittarieven '!Q94</f>
        <v>9.0039999999999999E-5</v>
      </c>
      <c r="R17" s="79">
        <f>'8. Entry- en exittarieven '!R94</f>
        <v>3.76E-6</v>
      </c>
      <c r="T17" s="118"/>
      <c r="U17" s="118"/>
      <c r="V17" s="32">
        <f>'8. Entry- en exittarieven '!V94</f>
        <v>6.6883200000000002E-3</v>
      </c>
      <c r="W17" s="32">
        <f>'8. Entry- en exittarieven '!W94</f>
        <v>2.8812999999999999E-4</v>
      </c>
      <c r="X17" s="85">
        <f>'8. Entry- en exittarieven '!X94</f>
        <v>1.201E-5</v>
      </c>
    </row>
    <row r="18" spans="2:24">
      <c r="B18" s="35" t="s">
        <v>23</v>
      </c>
      <c r="C18" s="35"/>
      <c r="D18" s="35"/>
      <c r="E18" s="35"/>
      <c r="F18" s="35"/>
      <c r="G18" s="35"/>
      <c r="H18" s="117"/>
      <c r="I18" s="118"/>
      <c r="J18" s="62">
        <f>'8. Entry- en exittarieven '!J95</f>
        <v>7.2394800000000004E-3</v>
      </c>
      <c r="K18" s="62">
        <f>'8. Entry- en exittarieven '!K95</f>
        <v>2.8153999999999999E-4</v>
      </c>
      <c r="L18" s="79">
        <f>'8. Entry- en exittarieven '!L95</f>
        <v>1.1739999999999999E-5</v>
      </c>
      <c r="M18" s="64"/>
      <c r="N18" s="117"/>
      <c r="O18" s="118"/>
      <c r="P18" s="62">
        <f>'8. Entry- en exittarieven '!P95</f>
        <v>1.8098700000000001E-3</v>
      </c>
      <c r="Q18" s="62">
        <f>'8. Entry- en exittarieven '!Q95</f>
        <v>7.0389999999999995E-5</v>
      </c>
      <c r="R18" s="79">
        <f>'8. Entry- en exittarieven '!R95</f>
        <v>2.9399999999999998E-6</v>
      </c>
      <c r="T18" s="118"/>
      <c r="U18" s="118"/>
      <c r="V18" s="32">
        <f>'8. Entry- en exittarieven '!V95</f>
        <v>5.7915900000000001E-3</v>
      </c>
      <c r="W18" s="32">
        <f>'8. Entry- en exittarieven '!W95</f>
        <v>2.2523000000000001E-4</v>
      </c>
      <c r="X18" s="85">
        <f>'8. Entry- en exittarieven '!X95</f>
        <v>9.3899999999999999E-6</v>
      </c>
    </row>
    <row r="19" spans="2:24">
      <c r="B19" s="35" t="s">
        <v>24</v>
      </c>
      <c r="C19" s="35"/>
      <c r="D19" s="35"/>
      <c r="E19" s="35"/>
      <c r="F19" s="35"/>
      <c r="G19" s="35"/>
      <c r="H19" s="117"/>
      <c r="I19" s="118">
        <f>'8. Entry- en exittarieven '!I96</f>
        <v>1.1579849999999999E-2</v>
      </c>
      <c r="J19" s="62">
        <f>'8. Entry- en exittarieven '!J96</f>
        <v>5.2237899999999999E-3</v>
      </c>
      <c r="K19" s="62">
        <f>'8. Entry- en exittarieven '!K96</f>
        <v>2.0996E-4</v>
      </c>
      <c r="L19" s="79">
        <f>'8. Entry- en exittarieven '!L96</f>
        <v>8.7499999999999992E-6</v>
      </c>
      <c r="M19" s="64"/>
      <c r="N19" s="117"/>
      <c r="O19" s="118">
        <f>'8. Entry- en exittarieven '!O96</f>
        <v>2.8949599999999998E-3</v>
      </c>
      <c r="P19" s="62">
        <f>'8. Entry- en exittarieven '!P96</f>
        <v>1.3059499999999999E-3</v>
      </c>
      <c r="Q19" s="62">
        <f>'8. Entry- en exittarieven '!Q96</f>
        <v>5.2490000000000001E-5</v>
      </c>
      <c r="R19" s="79">
        <f>'8. Entry- en exittarieven '!R96</f>
        <v>2.1899999999999998E-6</v>
      </c>
      <c r="T19" s="118"/>
      <c r="U19" s="118">
        <f>'8. Entry- en exittarieven '!U96</f>
        <v>9.2638800000000004E-3</v>
      </c>
      <c r="V19" s="32">
        <f>'8. Entry- en exittarieven '!V96</f>
        <v>4.1790300000000002E-3</v>
      </c>
      <c r="W19" s="32">
        <f>'8. Entry- en exittarieven '!W96</f>
        <v>1.6797000000000001E-4</v>
      </c>
      <c r="X19" s="85">
        <f>'8. Entry- en exittarieven '!X96</f>
        <v>6.9999999999999999E-6</v>
      </c>
    </row>
    <row r="20" spans="2:24">
      <c r="B20" s="35" t="s">
        <v>25</v>
      </c>
      <c r="C20" s="35"/>
      <c r="D20" s="35"/>
      <c r="E20" s="35"/>
      <c r="F20" s="35"/>
      <c r="G20" s="35"/>
      <c r="H20" s="117"/>
      <c r="I20" s="118"/>
      <c r="J20" s="62">
        <f>'8. Entry- en exittarieven '!J97</f>
        <v>4.7820400000000004E-3</v>
      </c>
      <c r="K20" s="62">
        <f>'8. Entry- en exittarieven '!K97</f>
        <v>1.861E-4</v>
      </c>
      <c r="L20" s="79">
        <f>'8. Entry- en exittarieven '!L97</f>
        <v>7.7600000000000002E-6</v>
      </c>
      <c r="M20" s="64"/>
      <c r="N20" s="117"/>
      <c r="O20" s="118"/>
      <c r="P20" s="62">
        <f>'8. Entry- en exittarieven '!P97</f>
        <v>1.1955100000000001E-3</v>
      </c>
      <c r="Q20" s="62">
        <f>'8. Entry- en exittarieven '!Q97</f>
        <v>4.6529999999999997E-5</v>
      </c>
      <c r="R20" s="79">
        <f>'8. Entry- en exittarieven '!R97</f>
        <v>1.9400000000000001E-6</v>
      </c>
      <c r="T20" s="118"/>
      <c r="U20" s="118"/>
      <c r="V20" s="32">
        <f>'8. Entry- en exittarieven '!V97</f>
        <v>3.8256399999999999E-3</v>
      </c>
      <c r="W20" s="32">
        <f>'8. Entry- en exittarieven '!W97</f>
        <v>1.4888E-4</v>
      </c>
      <c r="X20" s="85">
        <f>'8. Entry- en exittarieven '!X97</f>
        <v>6.2099999999999998E-6</v>
      </c>
    </row>
    <row r="21" spans="2:24">
      <c r="B21" s="35" t="s">
        <v>26</v>
      </c>
      <c r="C21" s="35"/>
      <c r="D21" s="35"/>
      <c r="E21" s="35"/>
      <c r="F21" s="35"/>
      <c r="G21" s="35"/>
      <c r="H21" s="117"/>
      <c r="I21" s="118"/>
      <c r="J21" s="62">
        <f>'8. Entry- en exittarieven '!J98</f>
        <v>3.8857000000000002E-3</v>
      </c>
      <c r="K21" s="62">
        <f>'8. Entry- en exittarieven '!K98</f>
        <v>1.5634000000000001E-4</v>
      </c>
      <c r="L21" s="79">
        <f>'8. Entry- en exittarieven '!L98</f>
        <v>6.5200000000000003E-6</v>
      </c>
      <c r="M21" s="64"/>
      <c r="N21" s="117"/>
      <c r="O21" s="118"/>
      <c r="P21" s="62">
        <f>'8. Entry- en exittarieven '!P98</f>
        <v>9.7143000000000001E-4</v>
      </c>
      <c r="Q21" s="62">
        <f>'8. Entry- en exittarieven '!Q98</f>
        <v>3.9079999999999999E-5</v>
      </c>
      <c r="R21" s="79">
        <f>'8. Entry- en exittarieven '!R98</f>
        <v>1.6299999999999999E-6</v>
      </c>
      <c r="T21" s="118"/>
      <c r="U21" s="118"/>
      <c r="V21" s="32">
        <f>'8. Entry- en exittarieven '!V98</f>
        <v>3.1085599999999998E-3</v>
      </c>
      <c r="W21" s="32">
        <f>'8. Entry- en exittarieven '!W98</f>
        <v>1.2506999999999999E-4</v>
      </c>
      <c r="X21" s="85">
        <f>'8. Entry- en exittarieven '!X98</f>
        <v>5.22E-6</v>
      </c>
    </row>
    <row r="22" spans="2:24">
      <c r="B22" s="35" t="s">
        <v>27</v>
      </c>
      <c r="C22" s="35"/>
      <c r="D22" s="35"/>
      <c r="E22" s="35"/>
      <c r="F22" s="35"/>
      <c r="G22" s="35"/>
      <c r="H22" s="117"/>
      <c r="I22" s="118">
        <f>'8. Entry- en exittarieven '!I99</f>
        <v>9.3925599999999995E-3</v>
      </c>
      <c r="J22" s="62">
        <f>'8. Entry- en exittarieven '!J99</f>
        <v>3.79182E-3</v>
      </c>
      <c r="K22" s="62">
        <f>'8. Entry- en exittarieven '!K99</f>
        <v>1.4747E-4</v>
      </c>
      <c r="L22" s="79">
        <f>'8. Entry- en exittarieven '!L99</f>
        <v>6.1499999999999996E-6</v>
      </c>
      <c r="M22" s="64"/>
      <c r="N22" s="117"/>
      <c r="O22" s="118">
        <f>'8. Entry- en exittarieven '!O99</f>
        <v>2.3481399999999999E-3</v>
      </c>
      <c r="P22" s="62">
        <f>'8. Entry- en exittarieven '!P99</f>
        <v>9.4795999999999997E-4</v>
      </c>
      <c r="Q22" s="62">
        <f>'8. Entry- en exittarieven '!Q99</f>
        <v>3.6869999999999998E-5</v>
      </c>
      <c r="R22" s="79">
        <f>'8. Entry- en exittarieven '!R99</f>
        <v>1.5399999999999999E-6</v>
      </c>
      <c r="T22" s="118"/>
      <c r="U22" s="118">
        <f>'8. Entry- en exittarieven '!U99</f>
        <v>7.5140500000000004E-3</v>
      </c>
      <c r="V22" s="32">
        <f>'8. Entry- en exittarieven '!V99</f>
        <v>3.03346E-3</v>
      </c>
      <c r="W22" s="32">
        <f>'8. Entry- en exittarieven '!W99</f>
        <v>1.1798000000000001E-4</v>
      </c>
      <c r="X22" s="85">
        <f>'8. Entry- en exittarieven '!X99</f>
        <v>4.9200000000000003E-6</v>
      </c>
    </row>
    <row r="23" spans="2:24">
      <c r="B23" s="35" t="s">
        <v>28</v>
      </c>
      <c r="C23" s="35"/>
      <c r="D23" s="35"/>
      <c r="E23" s="35"/>
      <c r="F23" s="35"/>
      <c r="G23" s="35"/>
      <c r="H23" s="117"/>
      <c r="I23" s="118"/>
      <c r="J23" s="62">
        <f>'8. Entry- en exittarieven '!J100</f>
        <v>3.60465E-3</v>
      </c>
      <c r="K23" s="62">
        <f>'8. Entry- en exittarieven '!K100</f>
        <v>1.4043000000000001E-4</v>
      </c>
      <c r="L23" s="79">
        <f>'8. Entry- en exittarieven '!L100</f>
        <v>5.8599999999999998E-6</v>
      </c>
      <c r="M23" s="64"/>
      <c r="N23" s="117"/>
      <c r="O23" s="118"/>
      <c r="P23" s="62">
        <f>'8. Entry- en exittarieven '!P100</f>
        <v>9.0116000000000003E-4</v>
      </c>
      <c r="Q23" s="62">
        <f>'8. Entry- en exittarieven '!Q100</f>
        <v>3.5110000000000001E-5</v>
      </c>
      <c r="R23" s="79">
        <f>'8. Entry- en exittarieven '!R100</f>
        <v>1.4699999999999999E-6</v>
      </c>
      <c r="T23" s="118"/>
      <c r="U23" s="118"/>
      <c r="V23" s="32">
        <f>'8. Entry- en exittarieven '!V100</f>
        <v>2.8837200000000002E-3</v>
      </c>
      <c r="W23" s="32">
        <f>'8. Entry- en exittarieven '!W100</f>
        <v>1.1234E-4</v>
      </c>
      <c r="X23" s="85">
        <f>'8. Entry- en exittarieven '!X100</f>
        <v>4.69E-6</v>
      </c>
    </row>
    <row r="24" spans="2:24">
      <c r="B24" s="35" t="s">
        <v>29</v>
      </c>
      <c r="C24" s="35"/>
      <c r="D24" s="35"/>
      <c r="E24" s="35"/>
      <c r="F24" s="35"/>
      <c r="G24" s="35"/>
      <c r="H24" s="117"/>
      <c r="I24" s="118"/>
      <c r="J24" s="62">
        <f>'8. Entry- en exittarieven '!J101</f>
        <v>3.8740200000000002E-3</v>
      </c>
      <c r="K24" s="62">
        <f>'8. Entry- en exittarieven '!K101</f>
        <v>1.5588000000000001E-4</v>
      </c>
      <c r="L24" s="79">
        <f>'8. Entry- en exittarieven '!L101</f>
        <v>6.4999999999999996E-6</v>
      </c>
      <c r="M24" s="64"/>
      <c r="N24" s="117"/>
      <c r="O24" s="118"/>
      <c r="P24" s="62">
        <f>'8. Entry- en exittarieven '!P101</f>
        <v>9.6849999999999996E-4</v>
      </c>
      <c r="Q24" s="62">
        <f>'8. Entry- en exittarieven '!Q101</f>
        <v>3.8970000000000001E-5</v>
      </c>
      <c r="R24" s="79">
        <f>'8. Entry- en exittarieven '!R101</f>
        <v>1.6299999999999999E-6</v>
      </c>
      <c r="T24" s="118"/>
      <c r="U24" s="118"/>
      <c r="V24" s="32">
        <f>'8. Entry- en exittarieven '!V101</f>
        <v>3.0992099999999998E-3</v>
      </c>
      <c r="W24" s="32">
        <f>'8. Entry- en exittarieven '!W101</f>
        <v>1.2470999999999999E-4</v>
      </c>
      <c r="X24" s="85">
        <f>'8. Entry- en exittarieven '!X101</f>
        <v>5.2000000000000002E-6</v>
      </c>
    </row>
    <row r="25" spans="2:24">
      <c r="B25" s="35" t="s">
        <v>30</v>
      </c>
      <c r="C25" s="35"/>
      <c r="D25" s="35"/>
      <c r="E25" s="35"/>
      <c r="F25" s="35"/>
      <c r="G25" s="35"/>
      <c r="H25" s="117"/>
      <c r="I25" s="118">
        <f>'8. Entry- en exittarieven '!I102</f>
        <v>1.6500440000000002E-2</v>
      </c>
      <c r="J25" s="62">
        <f>'8. Entry- en exittarieven '!J102</f>
        <v>4.59487E-3</v>
      </c>
      <c r="K25" s="62">
        <f>'8. Entry- en exittarieven '!K102</f>
        <v>1.7882999999999999E-4</v>
      </c>
      <c r="L25" s="79">
        <f>'8. Entry- en exittarieven '!L102</f>
        <v>7.4599999999999997E-6</v>
      </c>
      <c r="M25" s="64"/>
      <c r="N25" s="117"/>
      <c r="O25" s="118">
        <f>'8. Entry- en exittarieven '!O102</f>
        <v>4.1251100000000004E-3</v>
      </c>
      <c r="P25" s="62">
        <f>'8. Entry- en exittarieven '!P102</f>
        <v>1.14872E-3</v>
      </c>
      <c r="Q25" s="62">
        <f>'8. Entry- en exittarieven '!Q102</f>
        <v>4.4709999999999997E-5</v>
      </c>
      <c r="R25" s="79">
        <f>'8. Entry- en exittarieven '!R102</f>
        <v>1.8699999999999999E-6</v>
      </c>
      <c r="T25" s="118"/>
      <c r="U25" s="118">
        <f>'8. Entry- en exittarieven '!U102</f>
        <v>1.320035E-2</v>
      </c>
      <c r="V25" s="32">
        <f>'8. Entry- en exittarieven '!V102</f>
        <v>3.6758899999999998E-3</v>
      </c>
      <c r="W25" s="32">
        <f>'8. Entry- en exittarieven '!W102</f>
        <v>1.4307E-4</v>
      </c>
      <c r="X25" s="85">
        <f>'8. Entry- en exittarieven '!X102</f>
        <v>5.9699999999999996E-6</v>
      </c>
    </row>
    <row r="26" spans="2:24">
      <c r="B26" s="35" t="s">
        <v>31</v>
      </c>
      <c r="C26" s="35"/>
      <c r="D26" s="35"/>
      <c r="E26" s="35"/>
      <c r="F26" s="35"/>
      <c r="G26" s="35"/>
      <c r="H26" s="117"/>
      <c r="I26" s="118"/>
      <c r="J26" s="62">
        <f>'8. Entry- en exittarieven '!J103</f>
        <v>6.60277E-3</v>
      </c>
      <c r="K26" s="62">
        <f>'8. Entry- en exittarieven '!K103</f>
        <v>2.6540999999999999E-4</v>
      </c>
      <c r="L26" s="79">
        <f>'8. Entry- en exittarieven '!L103</f>
        <v>1.1059999999999999E-5</v>
      </c>
      <c r="M26" s="64"/>
      <c r="N26" s="117"/>
      <c r="O26" s="118"/>
      <c r="P26" s="62">
        <f>'8. Entry- en exittarieven '!P103</f>
        <v>1.65069E-3</v>
      </c>
      <c r="Q26" s="62">
        <f>'8. Entry- en exittarieven '!Q103</f>
        <v>6.635E-5</v>
      </c>
      <c r="R26" s="79">
        <f>'8. Entry- en exittarieven '!R103</f>
        <v>2.7699999999999997E-6</v>
      </c>
      <c r="T26" s="118"/>
      <c r="U26" s="118"/>
      <c r="V26" s="32">
        <f>'8. Entry- en exittarieven '!V103</f>
        <v>5.2822199999999998E-3</v>
      </c>
      <c r="W26" s="32">
        <f>'8. Entry- en exittarieven '!W103</f>
        <v>2.1232999999999999E-4</v>
      </c>
      <c r="X26" s="85">
        <f>'8. Entry- en exittarieven '!X103</f>
        <v>8.85E-6</v>
      </c>
    </row>
    <row r="27" spans="2:24">
      <c r="B27" s="35" t="s">
        <v>32</v>
      </c>
      <c r="C27" s="35"/>
      <c r="D27" s="35"/>
      <c r="E27" s="35"/>
      <c r="F27" s="35"/>
      <c r="G27" s="35"/>
      <c r="H27" s="117"/>
      <c r="I27" s="118"/>
      <c r="J27" s="62">
        <f>'8. Entry- en exittarieven '!J104</f>
        <v>8.5980199999999996E-3</v>
      </c>
      <c r="K27" s="62">
        <f>'8. Entry- en exittarieven '!K104</f>
        <v>3.3449E-4</v>
      </c>
      <c r="L27" s="79">
        <f>'8. Entry- en exittarieven '!L104</f>
        <v>1.394E-5</v>
      </c>
      <c r="M27" s="64"/>
      <c r="N27" s="117"/>
      <c r="O27" s="118"/>
      <c r="P27" s="62">
        <f>'8. Entry- en exittarieven '!P104</f>
        <v>2.1494999999999999E-3</v>
      </c>
      <c r="Q27" s="62">
        <f>'8. Entry- en exittarieven '!Q104</f>
        <v>8.3620000000000002E-5</v>
      </c>
      <c r="R27" s="79">
        <f>'8. Entry- en exittarieven '!R104</f>
        <v>3.49E-6</v>
      </c>
      <c r="T27" s="118"/>
      <c r="U27" s="118"/>
      <c r="V27" s="32">
        <f>'8. Entry- en exittarieven '!V104</f>
        <v>6.8784199999999997E-3</v>
      </c>
      <c r="W27" s="32">
        <f>'8. Entry- en exittarieven '!W104</f>
        <v>2.6759E-4</v>
      </c>
      <c r="X27" s="85">
        <f>'8. Entry- en exittarieven '!X104</f>
        <v>1.115E-5</v>
      </c>
    </row>
    <row r="28" spans="2:24">
      <c r="B28" s="35"/>
      <c r="C28" s="35"/>
      <c r="D28" s="35"/>
      <c r="E28" s="35"/>
      <c r="F28" s="35"/>
      <c r="G28" s="35"/>
      <c r="H28" s="35"/>
      <c r="I28" s="35"/>
      <c r="J28" s="35"/>
      <c r="K28" s="35"/>
      <c r="L28" s="80"/>
      <c r="M28" s="35"/>
      <c r="N28" s="35"/>
      <c r="O28" s="35"/>
      <c r="P28" s="35"/>
      <c r="Q28" s="35"/>
      <c r="R28" s="86"/>
    </row>
    <row r="29" spans="2:24" s="22" customFormat="1">
      <c r="B29" s="36" t="s">
        <v>33</v>
      </c>
      <c r="C29" s="36"/>
      <c r="D29" s="36"/>
      <c r="E29" s="36"/>
      <c r="F29" s="36"/>
      <c r="G29" s="36"/>
      <c r="H29" s="36" t="s">
        <v>7</v>
      </c>
      <c r="I29" s="36"/>
      <c r="J29" s="36"/>
      <c r="K29" s="36"/>
      <c r="L29" s="81"/>
      <c r="M29" s="36"/>
      <c r="N29" s="36" t="s">
        <v>8</v>
      </c>
      <c r="O29" s="36"/>
      <c r="P29" s="36"/>
      <c r="Q29" s="36"/>
      <c r="R29" s="87"/>
    </row>
    <row r="30" spans="2:24" s="24" customFormat="1">
      <c r="B30" s="37" t="s">
        <v>34</v>
      </c>
      <c r="C30" s="37"/>
      <c r="D30" s="37"/>
      <c r="E30" s="37"/>
      <c r="F30" s="37"/>
      <c r="G30" s="37"/>
      <c r="H30" s="37" t="s">
        <v>11</v>
      </c>
      <c r="I30" s="37" t="s">
        <v>12</v>
      </c>
      <c r="J30" s="37" t="s">
        <v>13</v>
      </c>
      <c r="K30" s="37" t="s">
        <v>14</v>
      </c>
      <c r="L30" s="82" t="s">
        <v>15</v>
      </c>
      <c r="M30" s="37"/>
      <c r="N30" s="37" t="s">
        <v>11</v>
      </c>
      <c r="O30" s="37" t="s">
        <v>12</v>
      </c>
      <c r="P30" s="37" t="s">
        <v>13</v>
      </c>
      <c r="Q30" s="37" t="s">
        <v>14</v>
      </c>
      <c r="R30" s="88" t="s">
        <v>15</v>
      </c>
    </row>
    <row r="31" spans="2:24" s="23" customFormat="1">
      <c r="B31" s="38"/>
      <c r="C31" s="38"/>
      <c r="D31" s="38"/>
      <c r="E31" s="38"/>
      <c r="F31" s="38"/>
      <c r="G31" s="38"/>
      <c r="H31" s="38" t="s">
        <v>16</v>
      </c>
      <c r="I31" s="38" t="s">
        <v>17</v>
      </c>
      <c r="J31" s="38" t="s">
        <v>18</v>
      </c>
      <c r="K31" s="38" t="s">
        <v>19</v>
      </c>
      <c r="L31" s="83" t="s">
        <v>20</v>
      </c>
      <c r="M31" s="38"/>
      <c r="N31" s="38" t="s">
        <v>16</v>
      </c>
      <c r="O31" s="38" t="s">
        <v>17</v>
      </c>
      <c r="P31" s="38" t="s">
        <v>18</v>
      </c>
      <c r="Q31" s="38" t="s">
        <v>19</v>
      </c>
      <c r="R31" s="89" t="s">
        <v>20</v>
      </c>
    </row>
    <row r="32" spans="2:24">
      <c r="B32" s="35"/>
      <c r="C32" s="35"/>
      <c r="D32" s="35"/>
      <c r="E32" s="35"/>
      <c r="F32" s="35"/>
      <c r="G32" s="35"/>
      <c r="H32" s="35"/>
      <c r="I32" s="35"/>
      <c r="J32" s="35"/>
      <c r="K32" s="35"/>
      <c r="L32" s="80"/>
      <c r="M32" s="35"/>
      <c r="N32" s="35"/>
      <c r="O32" s="35"/>
      <c r="P32" s="35"/>
      <c r="Q32" s="35"/>
      <c r="R32" s="86"/>
    </row>
    <row r="33" spans="2:24">
      <c r="B33" s="35" t="s">
        <v>21</v>
      </c>
      <c r="C33" s="35"/>
      <c r="D33" s="35"/>
      <c r="E33" s="35"/>
      <c r="F33" s="35"/>
      <c r="G33" s="35"/>
      <c r="H33" s="117">
        <f>'8. Entry- en exittarieven '!H111</f>
        <v>4.064864E-2</v>
      </c>
      <c r="I33" s="118">
        <f>'8. Entry- en exittarieven '!I111</f>
        <v>1.8567520000000001E-2</v>
      </c>
      <c r="J33" s="62">
        <f>'8. Entry- en exittarieven '!J111</f>
        <v>8.8811700000000007E-3</v>
      </c>
      <c r="K33" s="62">
        <f>'8. Entry- en exittarieven '!K111</f>
        <v>3.4553999999999997E-4</v>
      </c>
      <c r="L33" s="79">
        <f>'8. Entry- en exittarieven '!L111</f>
        <v>1.4399999999999999E-5</v>
      </c>
      <c r="M33" s="35"/>
      <c r="N33" s="117">
        <f>'8. Entry- en exittarieven '!N111</f>
        <v>1.016216E-2</v>
      </c>
      <c r="O33" s="118">
        <f>'8. Entry- en exittarieven '!O111</f>
        <v>4.6418800000000001E-3</v>
      </c>
      <c r="P33" s="62">
        <f>'8. Entry- en exittarieven '!P111</f>
        <v>2.2202900000000002E-3</v>
      </c>
      <c r="Q33" s="62">
        <f>'8. Entry- en exittarieven '!Q111</f>
        <v>8.6390000000000005E-5</v>
      </c>
      <c r="R33" s="79">
        <f>'8. Entry- en exittarieven '!R111</f>
        <v>3.5999999999999998E-6</v>
      </c>
    </row>
    <row r="34" spans="2:24">
      <c r="B34" s="35" t="s">
        <v>22</v>
      </c>
      <c r="C34" s="35"/>
      <c r="D34" s="35"/>
      <c r="E34" s="35"/>
      <c r="F34" s="35"/>
      <c r="G34" s="35"/>
      <c r="H34" s="117"/>
      <c r="I34" s="118"/>
      <c r="J34" s="62">
        <f>'8. Entry- en exittarieven '!J112</f>
        <v>7.1704200000000003E-3</v>
      </c>
      <c r="K34" s="62">
        <f>'8. Entry- en exittarieven '!K112</f>
        <v>3.0889999999999997E-4</v>
      </c>
      <c r="L34" s="79">
        <f>'8. Entry- en exittarieven '!L112</f>
        <v>1.288E-5</v>
      </c>
      <c r="M34" s="35"/>
      <c r="N34" s="117"/>
      <c r="O34" s="118"/>
      <c r="P34" s="62">
        <f>'8. Entry- en exittarieven '!P112</f>
        <v>1.79261E-3</v>
      </c>
      <c r="Q34" s="62">
        <f>'8. Entry- en exittarieven '!Q112</f>
        <v>7.7230000000000004E-5</v>
      </c>
      <c r="R34" s="79">
        <f>'8. Entry- en exittarieven '!R112</f>
        <v>3.2200000000000001E-6</v>
      </c>
    </row>
    <row r="35" spans="2:24">
      <c r="B35" s="35" t="s">
        <v>23</v>
      </c>
      <c r="C35" s="35"/>
      <c r="D35" s="35"/>
      <c r="E35" s="35"/>
      <c r="F35" s="35"/>
      <c r="G35" s="35"/>
      <c r="H35" s="117"/>
      <c r="I35" s="118"/>
      <c r="J35" s="62">
        <f>'8. Entry- en exittarieven '!J113</f>
        <v>6.2090499999999998E-3</v>
      </c>
      <c r="K35" s="62">
        <f>'8. Entry- en exittarieven '!K113</f>
        <v>2.4147E-4</v>
      </c>
      <c r="L35" s="79">
        <f>'8. Entry- en exittarieven '!L113</f>
        <v>1.007E-5</v>
      </c>
      <c r="M35" s="35"/>
      <c r="N35" s="117"/>
      <c r="O35" s="118"/>
      <c r="P35" s="62">
        <f>'8. Entry- en exittarieven '!P113</f>
        <v>1.55226E-3</v>
      </c>
      <c r="Q35" s="62">
        <f>'8. Entry- en exittarieven '!Q113</f>
        <v>6.037E-5</v>
      </c>
      <c r="R35" s="79">
        <f>'8. Entry- en exittarieven '!R113</f>
        <v>2.52E-6</v>
      </c>
    </row>
    <row r="36" spans="2:24">
      <c r="B36" s="35" t="s">
        <v>24</v>
      </c>
      <c r="C36" s="35"/>
      <c r="D36" s="35"/>
      <c r="E36" s="35"/>
      <c r="F36" s="35"/>
      <c r="G36" s="35"/>
      <c r="H36" s="117"/>
      <c r="I36" s="118">
        <f>'8. Entry- en exittarieven '!I114</f>
        <v>9.9316300000000003E-3</v>
      </c>
      <c r="J36" s="62">
        <f>'8. Entry- en exittarieven '!J114</f>
        <v>4.4802599999999998E-3</v>
      </c>
      <c r="K36" s="62">
        <f>'8. Entry- en exittarieven '!K114</f>
        <v>1.8008E-4</v>
      </c>
      <c r="L36" s="79">
        <f>'8. Entry- en exittarieven '!L114</f>
        <v>7.5100000000000001E-6</v>
      </c>
      <c r="M36" s="35"/>
      <c r="N36" s="117"/>
      <c r="O36" s="118">
        <f>'8. Entry- en exittarieven '!O114</f>
        <v>2.4829100000000001E-3</v>
      </c>
      <c r="P36" s="62">
        <f>'8. Entry- en exittarieven '!P114</f>
        <v>1.12006E-3</v>
      </c>
      <c r="Q36" s="62">
        <f>'8. Entry- en exittarieven '!Q114</f>
        <v>4.5019999999999999E-5</v>
      </c>
      <c r="R36" s="79">
        <f>'8. Entry- en exittarieven '!R114</f>
        <v>1.88E-6</v>
      </c>
    </row>
    <row r="37" spans="2:24">
      <c r="B37" s="35" t="s">
        <v>25</v>
      </c>
      <c r="C37" s="35"/>
      <c r="D37" s="35"/>
      <c r="E37" s="35"/>
      <c r="F37" s="35"/>
      <c r="G37" s="35"/>
      <c r="H37" s="117"/>
      <c r="I37" s="118"/>
      <c r="J37" s="62">
        <f>'8. Entry- en exittarieven '!J115</f>
        <v>4.1013899999999999E-3</v>
      </c>
      <c r="K37" s="62">
        <f>'8. Entry- en exittarieven '!K115</f>
        <v>1.5961999999999999E-4</v>
      </c>
      <c r="L37" s="79">
        <f>'8. Entry- en exittarieven '!L115</f>
        <v>6.6599999999999998E-6</v>
      </c>
      <c r="M37" s="35"/>
      <c r="N37" s="117"/>
      <c r="O37" s="118"/>
      <c r="P37" s="62">
        <f>'8. Entry- en exittarieven '!P115</f>
        <v>1.02535E-3</v>
      </c>
      <c r="Q37" s="62">
        <f>'8. Entry- en exittarieven '!Q115</f>
        <v>3.9900000000000001E-5</v>
      </c>
      <c r="R37" s="79">
        <f>'8. Entry- en exittarieven '!R115</f>
        <v>1.6699999999999999E-6</v>
      </c>
    </row>
    <row r="38" spans="2:24">
      <c r="B38" s="35" t="s">
        <v>26</v>
      </c>
      <c r="C38" s="35"/>
      <c r="D38" s="35"/>
      <c r="E38" s="35"/>
      <c r="F38" s="35"/>
      <c r="G38" s="35"/>
      <c r="H38" s="117"/>
      <c r="I38" s="118"/>
      <c r="J38" s="62">
        <f>'8. Entry- en exittarieven '!J116</f>
        <v>3.3326300000000001E-3</v>
      </c>
      <c r="K38" s="62">
        <f>'8. Entry- en exittarieven '!K116</f>
        <v>1.3407999999999999E-4</v>
      </c>
      <c r="L38" s="79">
        <f>'8. Entry- en exittarieven '!L116</f>
        <v>5.5899999999999998E-6</v>
      </c>
      <c r="M38" s="35"/>
      <c r="N38" s="117"/>
      <c r="O38" s="118"/>
      <c r="P38" s="62">
        <f>'8. Entry- en exittarieven '!P116</f>
        <v>8.3316E-4</v>
      </c>
      <c r="Q38" s="62">
        <f>'8. Entry- en exittarieven '!Q116</f>
        <v>3.3519999999999998E-5</v>
      </c>
      <c r="R38" s="79">
        <f>'8. Entry- en exittarieven '!R116</f>
        <v>1.3999999999999999E-6</v>
      </c>
    </row>
    <row r="39" spans="2:24">
      <c r="B39" s="35" t="s">
        <v>27</v>
      </c>
      <c r="C39" s="35"/>
      <c r="D39" s="35"/>
      <c r="E39" s="35"/>
      <c r="F39" s="35"/>
      <c r="G39" s="35"/>
      <c r="H39" s="117"/>
      <c r="I39" s="118">
        <f>'8. Entry- en exittarieven '!I117</f>
        <v>8.0556699999999992E-3</v>
      </c>
      <c r="J39" s="62">
        <f>'8. Entry- en exittarieven '!J117</f>
        <v>3.2521099999999999E-3</v>
      </c>
      <c r="K39" s="62">
        <f>'8. Entry- en exittarieven '!K117</f>
        <v>1.2648E-4</v>
      </c>
      <c r="L39" s="79">
        <f>'8. Entry- en exittarieven '!L117</f>
        <v>5.2800000000000003E-6</v>
      </c>
      <c r="M39" s="35"/>
      <c r="N39" s="117"/>
      <c r="O39" s="118">
        <f>'8. Entry- en exittarieven '!O117</f>
        <v>2.0139200000000002E-3</v>
      </c>
      <c r="P39" s="62">
        <f>'8. Entry- en exittarieven '!P117</f>
        <v>8.1302999999999996E-4</v>
      </c>
      <c r="Q39" s="62">
        <f>'8. Entry- en exittarieven '!Q117</f>
        <v>3.1619999999999999E-5</v>
      </c>
      <c r="R39" s="79">
        <f>'8. Entry- en exittarieven '!R117</f>
        <v>1.3199999999999999E-6</v>
      </c>
    </row>
    <row r="40" spans="2:24">
      <c r="B40" s="35" t="s">
        <v>28</v>
      </c>
      <c r="C40" s="35"/>
      <c r="D40" s="35"/>
      <c r="E40" s="35"/>
      <c r="F40" s="35"/>
      <c r="G40" s="35"/>
      <c r="H40" s="117"/>
      <c r="I40" s="118"/>
      <c r="J40" s="62">
        <f>'8. Entry- en exittarieven '!J118</f>
        <v>3.09158E-3</v>
      </c>
      <c r="K40" s="62">
        <f>'8. Entry- en exittarieven '!K118</f>
        <v>1.2044000000000001E-4</v>
      </c>
      <c r="L40" s="79">
        <f>'8. Entry- en exittarieven '!L118</f>
        <v>5.0200000000000002E-6</v>
      </c>
      <c r="M40" s="35"/>
      <c r="N40" s="117"/>
      <c r="O40" s="118"/>
      <c r="P40" s="62">
        <f>'8. Entry- en exittarieven '!P118</f>
        <v>7.7289000000000004E-4</v>
      </c>
      <c r="Q40" s="62">
        <f>'8. Entry- en exittarieven '!Q118</f>
        <v>3.0110000000000001E-5</v>
      </c>
      <c r="R40" s="79">
        <f>'8. Entry- en exittarieven '!R118</f>
        <v>1.26E-6</v>
      </c>
    </row>
    <row r="41" spans="2:24">
      <c r="B41" s="35" t="s">
        <v>29</v>
      </c>
      <c r="C41" s="35"/>
      <c r="D41" s="35"/>
      <c r="E41" s="35"/>
      <c r="F41" s="35"/>
      <c r="G41" s="35"/>
      <c r="H41" s="117"/>
      <c r="I41" s="118"/>
      <c r="J41" s="62">
        <f>'8. Entry- en exittarieven '!J119</f>
        <v>3.3226100000000001E-3</v>
      </c>
      <c r="K41" s="62">
        <f>'8. Entry- en exittarieven '!K119</f>
        <v>1.337E-4</v>
      </c>
      <c r="L41" s="79">
        <f>'8. Entry- en exittarieven '!L119</f>
        <v>5.5799999999999999E-6</v>
      </c>
      <c r="M41" s="35"/>
      <c r="N41" s="117"/>
      <c r="O41" s="118"/>
      <c r="P41" s="62">
        <f>'8. Entry- en exittarieven '!P119</f>
        <v>8.3065000000000005E-4</v>
      </c>
      <c r="Q41" s="62">
        <f>'8. Entry- en exittarieven '!Q119</f>
        <v>3.3420000000000002E-5</v>
      </c>
      <c r="R41" s="79">
        <f>'8. Entry- en exittarieven '!R119</f>
        <v>1.3999999999999999E-6</v>
      </c>
    </row>
    <row r="42" spans="2:24">
      <c r="B42" s="35" t="s">
        <v>30</v>
      </c>
      <c r="C42" s="35"/>
      <c r="D42" s="35"/>
      <c r="E42" s="35"/>
      <c r="F42" s="35"/>
      <c r="G42" s="35"/>
      <c r="H42" s="117"/>
      <c r="I42" s="118">
        <f>'8. Entry- en exittarieven '!I120</f>
        <v>1.4151850000000001E-2</v>
      </c>
      <c r="J42" s="62">
        <f>'8. Entry- en exittarieven '!J120</f>
        <v>3.94086E-3</v>
      </c>
      <c r="K42" s="62">
        <f>'8. Entry- en exittarieven '!K120</f>
        <v>1.5338E-4</v>
      </c>
      <c r="L42" s="79">
        <f>'8. Entry- en exittarieven '!L120</f>
        <v>6.3999999999999997E-6</v>
      </c>
      <c r="M42" s="35"/>
      <c r="N42" s="117"/>
      <c r="O42" s="118">
        <f>'8. Entry- en exittarieven '!O120</f>
        <v>3.5379600000000001E-3</v>
      </c>
      <c r="P42" s="62">
        <f>'8. Entry- en exittarieven '!P120</f>
        <v>9.8521000000000004E-4</v>
      </c>
      <c r="Q42" s="62">
        <f>'8. Entry- en exittarieven '!Q120</f>
        <v>3.8340000000000002E-5</v>
      </c>
      <c r="R42" s="79">
        <f>'8. Entry- en exittarieven '!R120</f>
        <v>1.5999999999999999E-6</v>
      </c>
    </row>
    <row r="43" spans="2:24">
      <c r="B43" s="35" t="s">
        <v>31</v>
      </c>
      <c r="C43" s="35"/>
      <c r="D43" s="35"/>
      <c r="E43" s="35"/>
      <c r="F43" s="35"/>
      <c r="G43" s="35"/>
      <c r="H43" s="117"/>
      <c r="I43" s="118"/>
      <c r="J43" s="62">
        <f>'8. Entry- en exittarieven '!J121</f>
        <v>5.6629699999999998E-3</v>
      </c>
      <c r="K43" s="62">
        <f>'8. Entry- en exittarieven '!K121</f>
        <v>2.2762999999999999E-4</v>
      </c>
      <c r="L43" s="79">
        <f>'8. Entry- en exittarieven '!L121</f>
        <v>9.4900000000000006E-6</v>
      </c>
      <c r="M43" s="35"/>
      <c r="N43" s="117"/>
      <c r="O43" s="118"/>
      <c r="P43" s="62">
        <f>'8. Entry- en exittarieven '!P121</f>
        <v>1.41574E-3</v>
      </c>
      <c r="Q43" s="62">
        <f>'8. Entry- en exittarieven '!Q121</f>
        <v>5.6910000000000002E-5</v>
      </c>
      <c r="R43" s="79">
        <f>'8. Entry- en exittarieven '!R121</f>
        <v>2.3800000000000001E-6</v>
      </c>
    </row>
    <row r="44" spans="2:24">
      <c r="B44" s="35" t="s">
        <v>32</v>
      </c>
      <c r="C44" s="35"/>
      <c r="D44" s="35"/>
      <c r="E44" s="35"/>
      <c r="F44" s="35"/>
      <c r="G44" s="35"/>
      <c r="H44" s="117"/>
      <c r="I44" s="118"/>
      <c r="J44" s="62">
        <f>'8. Entry- en exittarieven '!J122</f>
        <v>7.3742199999999999E-3</v>
      </c>
      <c r="K44" s="62">
        <f>'8. Entry- en exittarieven '!K122</f>
        <v>2.8687999999999999E-4</v>
      </c>
      <c r="L44" s="79">
        <f>'8. Entry- en exittarieven '!L122</f>
        <v>1.1960000000000001E-5</v>
      </c>
      <c r="M44" s="35"/>
      <c r="N44" s="117"/>
      <c r="O44" s="118"/>
      <c r="P44" s="62">
        <f>'8. Entry- en exittarieven '!P122</f>
        <v>1.8435599999999999E-3</v>
      </c>
      <c r="Q44" s="62">
        <f>'8. Entry- en exittarieven '!Q122</f>
        <v>7.1719999999999998E-5</v>
      </c>
      <c r="R44" s="79">
        <f>'8. Entry- en exittarieven '!R122</f>
        <v>2.9899999999999997E-6</v>
      </c>
    </row>
    <row r="45" spans="2:24">
      <c r="H45" s="55"/>
      <c r="I45" s="59"/>
      <c r="J45" s="60"/>
      <c r="K45" s="60"/>
      <c r="L45" s="84"/>
      <c r="N45" s="55"/>
      <c r="O45" s="59"/>
      <c r="P45" s="60"/>
      <c r="Q45" s="60"/>
      <c r="R45" s="90"/>
    </row>
    <row r="46" spans="2:24" s="22" customFormat="1" ht="25.5">
      <c r="B46" s="54" t="s">
        <v>35</v>
      </c>
      <c r="H46" s="22" t="s">
        <v>7</v>
      </c>
      <c r="L46" s="72"/>
      <c r="N46" s="22" t="s">
        <v>8</v>
      </c>
      <c r="R46" s="91"/>
      <c r="T46" s="22" t="s">
        <v>9</v>
      </c>
    </row>
    <row r="47" spans="2:24" s="24" customFormat="1">
      <c r="B47" s="24" t="s">
        <v>36</v>
      </c>
      <c r="H47" s="24" t="s">
        <v>11</v>
      </c>
      <c r="I47" s="24" t="s">
        <v>12</v>
      </c>
      <c r="J47" s="24" t="s">
        <v>13</v>
      </c>
      <c r="K47" s="24" t="s">
        <v>14</v>
      </c>
      <c r="L47" s="73" t="s">
        <v>15</v>
      </c>
      <c r="N47" s="24" t="s">
        <v>11</v>
      </c>
      <c r="O47" s="24" t="s">
        <v>12</v>
      </c>
      <c r="P47" s="24" t="s">
        <v>13</v>
      </c>
      <c r="Q47" s="24" t="s">
        <v>14</v>
      </c>
      <c r="R47" s="92" t="s">
        <v>15</v>
      </c>
      <c r="T47" s="24" t="s">
        <v>11</v>
      </c>
      <c r="U47" s="24" t="s">
        <v>12</v>
      </c>
      <c r="V47" s="24" t="s">
        <v>13</v>
      </c>
      <c r="W47" s="24" t="s">
        <v>14</v>
      </c>
      <c r="X47" s="24" t="s">
        <v>15</v>
      </c>
    </row>
    <row r="48" spans="2:24" s="23" customFormat="1">
      <c r="H48" s="23" t="s">
        <v>16</v>
      </c>
      <c r="I48" s="23" t="s">
        <v>17</v>
      </c>
      <c r="J48" s="23" t="s">
        <v>18</v>
      </c>
      <c r="K48" s="23" t="s">
        <v>19</v>
      </c>
      <c r="L48" s="74" t="s">
        <v>20</v>
      </c>
      <c r="N48" s="23" t="s">
        <v>16</v>
      </c>
      <c r="O48" s="23" t="s">
        <v>17</v>
      </c>
      <c r="P48" s="23" t="s">
        <v>18</v>
      </c>
      <c r="Q48" s="23" t="s">
        <v>19</v>
      </c>
      <c r="R48" s="93" t="s">
        <v>20</v>
      </c>
      <c r="T48" s="23" t="s">
        <v>16</v>
      </c>
      <c r="U48" s="23" t="s">
        <v>17</v>
      </c>
      <c r="V48" s="23" t="s">
        <v>18</v>
      </c>
      <c r="W48" s="23" t="s">
        <v>19</v>
      </c>
      <c r="X48" s="23" t="s">
        <v>20</v>
      </c>
    </row>
    <row r="49" spans="2:24">
      <c r="J49" s="40"/>
      <c r="L49" s="71"/>
      <c r="R49" s="94"/>
    </row>
    <row r="50" spans="2:24">
      <c r="B50" s="3" t="s">
        <v>21</v>
      </c>
      <c r="H50" s="117">
        <f>'8. Entry- en exittarieven '!H129</f>
        <v>4.7389800000000003E-2</v>
      </c>
      <c r="I50" s="120">
        <f>'8. Entry- en exittarieven '!I129</f>
        <v>2.1646749999999999E-2</v>
      </c>
      <c r="J50" s="39">
        <f>'8. Entry- en exittarieven '!J129</f>
        <v>1.035402E-2</v>
      </c>
      <c r="K50" s="39">
        <f>'8. Entry- en exittarieven '!K129</f>
        <v>4.0285000000000001E-4</v>
      </c>
      <c r="L50" s="85">
        <f>'8. Entry- en exittarieven '!L129</f>
        <v>1.679E-5</v>
      </c>
      <c r="N50" s="122">
        <f>'8. Entry- en exittarieven '!N129</f>
        <v>1.1847450000000001E-2</v>
      </c>
      <c r="O50" s="123">
        <f>'8. Entry- en exittarieven '!O129</f>
        <v>5.4116900000000003E-3</v>
      </c>
      <c r="P50" s="63">
        <f>'8. Entry- en exittarieven '!P129</f>
        <v>2.58851E-3</v>
      </c>
      <c r="Q50" s="63">
        <f>'8. Entry- en exittarieven '!Q129</f>
        <v>1.0071E-4</v>
      </c>
      <c r="R50" s="109">
        <f>'8. Entry- en exittarieven '!R129</f>
        <v>4.1999999999999996E-6</v>
      </c>
      <c r="T50" s="121">
        <f>'8. Entry- en exittarieven '!T129</f>
        <v>3.7911840000000002E-2</v>
      </c>
      <c r="U50" s="121">
        <f>'8. Entry- en exittarieven '!U129</f>
        <v>1.73174E-2</v>
      </c>
      <c r="V50" s="32">
        <f>'8. Entry- en exittarieven '!V129</f>
        <v>8.2832200000000009E-3</v>
      </c>
      <c r="W50" s="32">
        <f>'8. Entry- en exittarieven '!W129</f>
        <v>3.2227999999999998E-4</v>
      </c>
      <c r="X50" s="85">
        <f>'8. Entry- en exittarieven '!X129</f>
        <v>1.343E-5</v>
      </c>
    </row>
    <row r="51" spans="2:24">
      <c r="B51" s="3" t="s">
        <v>22</v>
      </c>
      <c r="H51" s="117"/>
      <c r="I51" s="120"/>
      <c r="J51" s="39">
        <f>'8. Entry- en exittarieven '!J130</f>
        <v>8.3595600000000003E-3</v>
      </c>
      <c r="K51" s="39">
        <f>'8. Entry- en exittarieven '!K130</f>
        <v>3.6013000000000001E-4</v>
      </c>
      <c r="L51" s="85">
        <f>'8. Entry- en exittarieven '!L130</f>
        <v>1.501E-5</v>
      </c>
      <c r="N51" s="122"/>
      <c r="O51" s="123"/>
      <c r="P51" s="63">
        <f>'8. Entry- en exittarieven '!P130</f>
        <v>2.0898900000000001E-3</v>
      </c>
      <c r="Q51" s="63">
        <f>'8. Entry- en exittarieven '!Q130</f>
        <v>9.0030000000000004E-5</v>
      </c>
      <c r="R51" s="109">
        <f>'8. Entry- en exittarieven '!R130</f>
        <v>3.76E-6</v>
      </c>
      <c r="T51" s="121"/>
      <c r="U51" s="121"/>
      <c r="V51" s="32">
        <f>'8. Entry- en exittarieven '!V130</f>
        <v>6.6876499999999998E-3</v>
      </c>
      <c r="W51" s="32">
        <f>'8. Entry- en exittarieven '!W130</f>
        <v>2.8810000000000001E-4</v>
      </c>
      <c r="X51" s="85">
        <f>'8. Entry- en exittarieven '!X130</f>
        <v>1.201E-5</v>
      </c>
    </row>
    <row r="52" spans="2:24">
      <c r="B52" s="3" t="s">
        <v>23</v>
      </c>
      <c r="H52" s="117"/>
      <c r="I52" s="120"/>
      <c r="J52" s="39">
        <f>'8. Entry- en exittarieven '!J131</f>
        <v>7.2387600000000003E-3</v>
      </c>
      <c r="K52" s="39">
        <f>'8. Entry- en exittarieven '!K131</f>
        <v>2.8151000000000001E-4</v>
      </c>
      <c r="L52" s="85">
        <f>'8. Entry- en exittarieven '!L131</f>
        <v>1.173E-5</v>
      </c>
      <c r="N52" s="122"/>
      <c r="O52" s="123"/>
      <c r="P52" s="63">
        <f>'8. Entry- en exittarieven '!P131</f>
        <v>1.8096900000000001E-3</v>
      </c>
      <c r="Q52" s="63">
        <f>'8. Entry- en exittarieven '!Q131</f>
        <v>7.038E-5</v>
      </c>
      <c r="R52" s="109">
        <f>'8. Entry- en exittarieven '!R131</f>
        <v>2.9399999999999998E-6</v>
      </c>
      <c r="T52" s="121"/>
      <c r="U52" s="121"/>
      <c r="V52" s="32">
        <f>'8. Entry- en exittarieven '!V131</f>
        <v>5.7910100000000001E-3</v>
      </c>
      <c r="W52" s="32">
        <f>'8. Entry- en exittarieven '!W131</f>
        <v>2.2520999999999999E-4</v>
      </c>
      <c r="X52" s="85">
        <f>'8. Entry- en exittarieven '!X131</f>
        <v>9.3899999999999999E-6</v>
      </c>
    </row>
    <row r="53" spans="2:24">
      <c r="B53" s="3" t="s">
        <v>24</v>
      </c>
      <c r="H53" s="117"/>
      <c r="I53" s="120">
        <f>'8. Entry- en exittarieven '!I132</f>
        <v>1.1578690000000001E-2</v>
      </c>
      <c r="J53" s="39">
        <f>'8. Entry- en exittarieven '!J132</f>
        <v>5.2232700000000003E-3</v>
      </c>
      <c r="K53" s="39">
        <f>'8. Entry- en exittarieven '!K132</f>
        <v>2.0994000000000001E-4</v>
      </c>
      <c r="L53" s="85">
        <f>'8. Entry- en exittarieven '!L132</f>
        <v>8.7499999999999992E-6</v>
      </c>
      <c r="N53" s="122"/>
      <c r="O53" s="123">
        <f>'8. Entry- en exittarieven '!O132</f>
        <v>2.8946699999999998E-3</v>
      </c>
      <c r="P53" s="63">
        <f>'8. Entry- en exittarieven '!P132</f>
        <v>1.3058200000000001E-3</v>
      </c>
      <c r="Q53" s="63">
        <f>'8. Entry- en exittarieven '!Q132</f>
        <v>5.2490000000000001E-5</v>
      </c>
      <c r="R53" s="109">
        <f>'8. Entry- en exittarieven '!R132</f>
        <v>2.1899999999999998E-6</v>
      </c>
      <c r="T53" s="121"/>
      <c r="U53" s="121">
        <f>'8. Entry- en exittarieven '!U132</f>
        <v>9.2629500000000007E-3</v>
      </c>
      <c r="V53" s="32">
        <f>'8. Entry- en exittarieven '!V132</f>
        <v>4.1786100000000001E-3</v>
      </c>
      <c r="W53" s="32">
        <f>'8. Entry- en exittarieven '!W132</f>
        <v>1.6794999999999999E-4</v>
      </c>
      <c r="X53" s="85">
        <f>'8. Entry- en exittarieven '!X132</f>
        <v>6.9999999999999999E-6</v>
      </c>
    </row>
    <row r="54" spans="2:24">
      <c r="B54" s="3" t="s">
        <v>25</v>
      </c>
      <c r="H54" s="117"/>
      <c r="I54" s="120"/>
      <c r="J54" s="39">
        <f>'8. Entry- en exittarieven '!J133</f>
        <v>4.7815699999999997E-3</v>
      </c>
      <c r="K54" s="39">
        <f>'8. Entry- en exittarieven '!K133</f>
        <v>1.8609E-4</v>
      </c>
      <c r="L54" s="85">
        <f>'8. Entry- en exittarieven '!L133</f>
        <v>7.7600000000000002E-6</v>
      </c>
      <c r="N54" s="122"/>
      <c r="O54" s="123"/>
      <c r="P54" s="63">
        <f>'8. Entry- en exittarieven '!P133</f>
        <v>1.19539E-3</v>
      </c>
      <c r="Q54" s="63">
        <f>'8. Entry- en exittarieven '!Q133</f>
        <v>4.6520000000000002E-5</v>
      </c>
      <c r="R54" s="109">
        <f>'8. Entry- en exittarieven '!R133</f>
        <v>1.9400000000000001E-6</v>
      </c>
      <c r="T54" s="121"/>
      <c r="U54" s="121"/>
      <c r="V54" s="32">
        <f>'8. Entry- en exittarieven '!V133</f>
        <v>3.8252500000000001E-3</v>
      </c>
      <c r="W54" s="32">
        <f>'8. Entry- en exittarieven '!W133</f>
        <v>1.4887E-4</v>
      </c>
      <c r="X54" s="85">
        <f>'8. Entry- en exittarieven '!X133</f>
        <v>6.2099999999999998E-6</v>
      </c>
    </row>
    <row r="55" spans="2:24">
      <c r="B55" s="3" t="s">
        <v>26</v>
      </c>
      <c r="H55" s="117"/>
      <c r="I55" s="120"/>
      <c r="J55" s="39">
        <f>'8. Entry- en exittarieven '!J134</f>
        <v>3.8853099999999999E-3</v>
      </c>
      <c r="K55" s="39">
        <f>'8. Entry- en exittarieven '!K134</f>
        <v>1.5631999999999999E-4</v>
      </c>
      <c r="L55" s="85">
        <f>'8. Entry- en exittarieven '!L134</f>
        <v>6.5200000000000003E-6</v>
      </c>
      <c r="N55" s="122"/>
      <c r="O55" s="123"/>
      <c r="P55" s="63">
        <f>'8. Entry- en exittarieven '!P134</f>
        <v>9.7132999999999996E-4</v>
      </c>
      <c r="Q55" s="63">
        <f>'8. Entry- en exittarieven '!Q134</f>
        <v>3.9079999999999999E-5</v>
      </c>
      <c r="R55" s="109">
        <f>'8. Entry- en exittarieven '!R134</f>
        <v>1.6299999999999999E-6</v>
      </c>
      <c r="T55" s="121"/>
      <c r="U55" s="121"/>
      <c r="V55" s="32">
        <f>'8. Entry- en exittarieven '!V134</f>
        <v>3.1082499999999999E-3</v>
      </c>
      <c r="W55" s="32">
        <f>'8. Entry- en exittarieven '!W134</f>
        <v>1.2506E-4</v>
      </c>
      <c r="X55" s="85">
        <f>'8. Entry- en exittarieven '!X134</f>
        <v>5.22E-6</v>
      </c>
    </row>
    <row r="56" spans="2:24">
      <c r="B56" s="3" t="s">
        <v>27</v>
      </c>
      <c r="H56" s="117"/>
      <c r="I56" s="120">
        <f>'8. Entry- en exittarieven '!I135</f>
        <v>9.3916199999999998E-3</v>
      </c>
      <c r="J56" s="39">
        <f>'8. Entry- en exittarieven '!J135</f>
        <v>3.7914400000000001E-3</v>
      </c>
      <c r="K56" s="39">
        <f>'8. Entry- en exittarieven '!K135</f>
        <v>1.4746E-4</v>
      </c>
      <c r="L56" s="85">
        <f>'8. Entry- en exittarieven '!L135</f>
        <v>6.1499999999999996E-6</v>
      </c>
      <c r="N56" s="122"/>
      <c r="O56" s="123">
        <f>'8. Entry- en exittarieven '!O135</f>
        <v>2.3479099999999999E-3</v>
      </c>
      <c r="P56" s="63">
        <f>'8. Entry- en exittarieven '!P135</f>
        <v>9.4786000000000002E-4</v>
      </c>
      <c r="Q56" s="63">
        <f>'8. Entry- en exittarieven '!Q135</f>
        <v>3.6869999999999998E-5</v>
      </c>
      <c r="R56" s="109">
        <f>'8. Entry- en exittarieven '!R135</f>
        <v>1.5399999999999999E-6</v>
      </c>
      <c r="T56" s="121"/>
      <c r="U56" s="121">
        <f>'8. Entry- en exittarieven '!U135</f>
        <v>7.5132999999999997E-3</v>
      </c>
      <c r="V56" s="32">
        <f>'8. Entry- en exittarieven '!V135</f>
        <v>3.03316E-3</v>
      </c>
      <c r="W56" s="32">
        <f>'8. Entry- en exittarieven '!W135</f>
        <v>1.1797E-4</v>
      </c>
      <c r="X56" s="85">
        <f>'8. Entry- en exittarieven '!X135</f>
        <v>4.9200000000000003E-6</v>
      </c>
    </row>
    <row r="57" spans="2:24">
      <c r="B57" s="3" t="s">
        <v>28</v>
      </c>
      <c r="H57" s="117"/>
      <c r="I57" s="120"/>
      <c r="J57" s="39">
        <f>'8. Entry- en exittarieven '!J136</f>
        <v>3.60429E-3</v>
      </c>
      <c r="K57" s="39">
        <f>'8. Entry- en exittarieven '!K136</f>
        <v>1.4041999999999999E-4</v>
      </c>
      <c r="L57" s="85">
        <f>'8. Entry- en exittarieven '!L136</f>
        <v>5.8599999999999998E-6</v>
      </c>
      <c r="N57" s="122"/>
      <c r="O57" s="123"/>
      <c r="P57" s="63">
        <f>'8. Entry- en exittarieven '!P136</f>
        <v>9.0107000000000002E-4</v>
      </c>
      <c r="Q57" s="63">
        <f>'8. Entry- en exittarieven '!Q136</f>
        <v>3.5099999999999999E-5</v>
      </c>
      <c r="R57" s="109">
        <f>'8. Entry- en exittarieven '!R136</f>
        <v>1.4699999999999999E-6</v>
      </c>
      <c r="T57" s="121"/>
      <c r="U57" s="121"/>
      <c r="V57" s="32">
        <f>'8. Entry- en exittarieven '!V136</f>
        <v>2.8834300000000002E-3</v>
      </c>
      <c r="W57" s="32">
        <f>'8. Entry- en exittarieven '!W136</f>
        <v>1.1233E-4</v>
      </c>
      <c r="X57" s="85">
        <f>'8. Entry- en exittarieven '!X136</f>
        <v>4.69E-6</v>
      </c>
    </row>
    <row r="58" spans="2:24">
      <c r="B58" s="3" t="s">
        <v>29</v>
      </c>
      <c r="H58" s="117"/>
      <c r="I58" s="120"/>
      <c r="J58" s="39">
        <f>'8. Entry- en exittarieven '!J137</f>
        <v>3.8736299999999999E-3</v>
      </c>
      <c r="K58" s="39">
        <f>'8. Entry- en exittarieven '!K137</f>
        <v>1.5587000000000001E-4</v>
      </c>
      <c r="L58" s="85">
        <f>'8. Entry- en exittarieven '!L137</f>
        <v>6.4999999999999996E-6</v>
      </c>
      <c r="N58" s="122"/>
      <c r="O58" s="123"/>
      <c r="P58" s="63">
        <f>'8. Entry- en exittarieven '!P137</f>
        <v>9.6840999999999995E-4</v>
      </c>
      <c r="Q58" s="63">
        <f>'8. Entry- en exittarieven '!Q137</f>
        <v>3.8970000000000001E-5</v>
      </c>
      <c r="R58" s="109">
        <f>'8. Entry- en exittarieven '!R137</f>
        <v>1.6299999999999999E-6</v>
      </c>
      <c r="T58" s="121"/>
      <c r="U58" s="121"/>
      <c r="V58" s="32">
        <f>'8. Entry- en exittarieven '!V137</f>
        <v>3.0988999999999999E-3</v>
      </c>
      <c r="W58" s="32">
        <f>'8. Entry- en exittarieven '!W137</f>
        <v>1.2469E-4</v>
      </c>
      <c r="X58" s="85">
        <f>'8. Entry- en exittarieven '!X137</f>
        <v>5.2000000000000002E-6</v>
      </c>
    </row>
    <row r="59" spans="2:24">
      <c r="B59" s="3" t="s">
        <v>30</v>
      </c>
      <c r="H59" s="117"/>
      <c r="I59" s="120">
        <f>'8. Entry- en exittarieven '!I138</f>
        <v>1.6498789999999999E-2</v>
      </c>
      <c r="J59" s="39">
        <f>'8. Entry- en exittarieven '!J138</f>
        <v>4.5944100000000002E-3</v>
      </c>
      <c r="K59" s="39">
        <f>'8. Entry- en exittarieven '!K138</f>
        <v>1.7882E-4</v>
      </c>
      <c r="L59" s="85">
        <f>'8. Entry- en exittarieven '!L138</f>
        <v>7.4599999999999997E-6</v>
      </c>
      <c r="N59" s="122"/>
      <c r="O59" s="123">
        <f>'8. Entry- en exittarieven '!O138</f>
        <v>4.1247000000000002E-3</v>
      </c>
      <c r="P59" s="63">
        <f>'8. Entry- en exittarieven '!P138</f>
        <v>1.1486000000000001E-3</v>
      </c>
      <c r="Q59" s="63">
        <f>'8. Entry- en exittarieven '!Q138</f>
        <v>4.4700000000000002E-5</v>
      </c>
      <c r="R59" s="109">
        <f>'8. Entry- en exittarieven '!R138</f>
        <v>1.8699999999999999E-6</v>
      </c>
      <c r="T59" s="121"/>
      <c r="U59" s="121">
        <f>'8. Entry- en exittarieven '!U138</f>
        <v>1.319903E-2</v>
      </c>
      <c r="V59" s="32">
        <f>'8. Entry- en exittarieven '!V138</f>
        <v>3.6755300000000002E-3</v>
      </c>
      <c r="W59" s="32">
        <f>'8. Entry- en exittarieven '!W138</f>
        <v>1.4305000000000001E-4</v>
      </c>
      <c r="X59" s="85">
        <f>'8. Entry- en exittarieven '!X138</f>
        <v>5.9699999999999996E-6</v>
      </c>
    </row>
    <row r="60" spans="2:24">
      <c r="B60" s="3" t="s">
        <v>31</v>
      </c>
      <c r="H60" s="117"/>
      <c r="I60" s="120"/>
      <c r="J60" s="39">
        <f>'8. Entry- en exittarieven '!J139</f>
        <v>6.6021099999999996E-3</v>
      </c>
      <c r="K60" s="39">
        <f>'8. Entry- en exittarieven '!K139</f>
        <v>2.6538000000000001E-4</v>
      </c>
      <c r="L60" s="85">
        <f>'8. Entry- en exittarieven '!L139</f>
        <v>1.1059999999999999E-5</v>
      </c>
      <c r="N60" s="122"/>
      <c r="O60" s="123"/>
      <c r="P60" s="63">
        <f>'8. Entry- en exittarieven '!P139</f>
        <v>1.6505300000000001E-3</v>
      </c>
      <c r="Q60" s="63">
        <f>'8. Entry- en exittarieven '!Q139</f>
        <v>6.635E-5</v>
      </c>
      <c r="R60" s="109">
        <f>'8. Entry- en exittarieven '!R139</f>
        <v>2.7699999999999997E-6</v>
      </c>
      <c r="T60" s="121"/>
      <c r="U60" s="121"/>
      <c r="V60" s="32">
        <f>'8. Entry- en exittarieven '!V139</f>
        <v>5.2816900000000003E-3</v>
      </c>
      <c r="W60" s="32">
        <f>'8. Entry- en exittarieven '!W139</f>
        <v>2.1231000000000001E-4</v>
      </c>
      <c r="X60" s="85">
        <f>'8. Entry- en exittarieven '!X139</f>
        <v>8.85E-6</v>
      </c>
    </row>
    <row r="61" spans="2:24">
      <c r="B61" s="3" t="s">
        <v>32</v>
      </c>
      <c r="H61" s="117"/>
      <c r="I61" s="120"/>
      <c r="J61" s="39">
        <f>'8. Entry- en exittarieven '!J140</f>
        <v>8.5971599999999995E-3</v>
      </c>
      <c r="K61" s="39">
        <f>'8. Entry- en exittarieven '!K140</f>
        <v>3.3446000000000002E-4</v>
      </c>
      <c r="L61" s="85">
        <f>'8. Entry- en exittarieven '!L140</f>
        <v>1.394E-5</v>
      </c>
      <c r="N61" s="122"/>
      <c r="O61" s="123"/>
      <c r="P61" s="63">
        <f>'8. Entry- en exittarieven '!P140</f>
        <v>2.1492899999999999E-3</v>
      </c>
      <c r="Q61" s="63">
        <f>'8. Entry- en exittarieven '!Q140</f>
        <v>8.3609999999999994E-5</v>
      </c>
      <c r="R61" s="109">
        <f>'8. Entry- en exittarieven '!R140</f>
        <v>3.49E-6</v>
      </c>
      <c r="T61" s="121"/>
      <c r="U61" s="121"/>
      <c r="V61" s="32">
        <f>'8. Entry- en exittarieven '!V140</f>
        <v>6.8777300000000003E-3</v>
      </c>
      <c r="W61" s="32">
        <f>'8. Entry- en exittarieven '!W140</f>
        <v>2.6756000000000002E-4</v>
      </c>
      <c r="X61" s="85">
        <f>'8. Entry- en exittarieven '!X140</f>
        <v>1.115E-5</v>
      </c>
    </row>
    <row r="62" spans="2:24">
      <c r="L62" s="71"/>
      <c r="R62" s="94"/>
    </row>
    <row r="63" spans="2:24" s="22" customFormat="1" ht="25.5">
      <c r="B63" s="54" t="s">
        <v>37</v>
      </c>
      <c r="H63" s="22" t="s">
        <v>7</v>
      </c>
      <c r="L63" s="72"/>
      <c r="N63" s="22" t="s">
        <v>8</v>
      </c>
      <c r="R63" s="91"/>
    </row>
    <row r="64" spans="2:24" s="24" customFormat="1">
      <c r="B64" s="24" t="s">
        <v>38</v>
      </c>
      <c r="H64" s="24" t="s">
        <v>11</v>
      </c>
      <c r="I64" s="24" t="s">
        <v>12</v>
      </c>
      <c r="J64" s="24" t="s">
        <v>13</v>
      </c>
      <c r="K64" s="24" t="s">
        <v>14</v>
      </c>
      <c r="L64" s="73" t="s">
        <v>15</v>
      </c>
      <c r="N64" s="24" t="s">
        <v>11</v>
      </c>
      <c r="O64" s="24" t="s">
        <v>12</v>
      </c>
      <c r="P64" s="24" t="s">
        <v>13</v>
      </c>
      <c r="Q64" s="24" t="s">
        <v>14</v>
      </c>
      <c r="R64" s="92" t="s">
        <v>15</v>
      </c>
    </row>
    <row r="65" spans="2:18" s="23" customFormat="1">
      <c r="H65" s="23" t="s">
        <v>16</v>
      </c>
      <c r="I65" s="23" t="s">
        <v>17</v>
      </c>
      <c r="J65" s="23" t="s">
        <v>18</v>
      </c>
      <c r="K65" s="23" t="s">
        <v>19</v>
      </c>
      <c r="L65" s="74" t="s">
        <v>20</v>
      </c>
      <c r="N65" s="23" t="s">
        <v>16</v>
      </c>
      <c r="O65" s="23" t="s">
        <v>17</v>
      </c>
      <c r="P65" s="23" t="s">
        <v>18</v>
      </c>
      <c r="Q65" s="23" t="s">
        <v>19</v>
      </c>
      <c r="R65" s="93" t="s">
        <v>20</v>
      </c>
    </row>
    <row r="66" spans="2:18">
      <c r="L66" s="71"/>
      <c r="R66" s="94"/>
    </row>
    <row r="67" spans="2:18">
      <c r="B67" s="3" t="s">
        <v>21</v>
      </c>
      <c r="H67" s="117">
        <f>'8. Entry- en exittarieven '!H146</f>
        <v>4.064458E-2</v>
      </c>
      <c r="I67" s="120">
        <f>'8. Entry- en exittarieven '!I146</f>
        <v>1.8565660000000001E-2</v>
      </c>
      <c r="J67" s="39">
        <f>'8. Entry- en exittarieven '!J146</f>
        <v>8.8802800000000008E-3</v>
      </c>
      <c r="K67" s="39">
        <f>'8. Entry- en exittarieven '!K146</f>
        <v>3.4550999999999999E-4</v>
      </c>
      <c r="L67" s="85">
        <f>'8. Entry- en exittarieven '!L146</f>
        <v>1.4399999999999999E-5</v>
      </c>
      <c r="N67" s="117">
        <f>'8. Entry- en exittarieven '!N146</f>
        <v>1.0161140000000001E-2</v>
      </c>
      <c r="O67" s="120">
        <f>'8. Entry- en exittarieven '!O146</f>
        <v>4.6414200000000003E-3</v>
      </c>
      <c r="P67" s="39">
        <f>'8. Entry- en exittarieven '!P146</f>
        <v>2.2200700000000002E-3</v>
      </c>
      <c r="Q67" s="63">
        <f>'8. Entry- en exittarieven '!Q146</f>
        <v>8.6379999999999996E-5</v>
      </c>
      <c r="R67" s="109">
        <f>'8. Entry- en exittarieven '!R146</f>
        <v>3.5999999999999998E-6</v>
      </c>
    </row>
    <row r="68" spans="2:18">
      <c r="B68" s="3" t="s">
        <v>22</v>
      </c>
      <c r="H68" s="117"/>
      <c r="I68" s="120"/>
      <c r="J68" s="39">
        <f>'8. Entry- en exittarieven '!J147</f>
        <v>7.1697000000000002E-3</v>
      </c>
      <c r="K68" s="39">
        <f>'8. Entry- en exittarieven '!K147</f>
        <v>3.0886999999999999E-4</v>
      </c>
      <c r="L68" s="85">
        <f>'8. Entry- en exittarieven '!L147</f>
        <v>1.287E-5</v>
      </c>
      <c r="N68" s="117"/>
      <c r="O68" s="120"/>
      <c r="P68" s="39">
        <f>'8. Entry- en exittarieven '!P147</f>
        <v>1.79243E-3</v>
      </c>
      <c r="Q68" s="63">
        <f>'8. Entry- en exittarieven '!Q147</f>
        <v>7.7219999999999996E-5</v>
      </c>
      <c r="R68" s="109">
        <f>'8. Entry- en exittarieven '!R147</f>
        <v>3.2200000000000001E-6</v>
      </c>
    </row>
    <row r="69" spans="2:18">
      <c r="B69" s="3" t="s">
        <v>23</v>
      </c>
      <c r="H69" s="117"/>
      <c r="I69" s="120"/>
      <c r="J69" s="39">
        <f>'8. Entry- en exittarieven '!J148</f>
        <v>6.20843E-3</v>
      </c>
      <c r="K69" s="39">
        <f>'8. Entry- en exittarieven '!K148</f>
        <v>2.4144999999999999E-4</v>
      </c>
      <c r="L69" s="85">
        <f>'8. Entry- en exittarieven '!L148</f>
        <v>1.007E-5</v>
      </c>
      <c r="N69" s="117"/>
      <c r="O69" s="120"/>
      <c r="P69" s="39">
        <f>'8. Entry- en exittarieven '!P148</f>
        <v>1.55211E-3</v>
      </c>
      <c r="Q69" s="63">
        <f>'8. Entry- en exittarieven '!Q148</f>
        <v>6.0359999999999998E-5</v>
      </c>
      <c r="R69" s="109">
        <f>'8. Entry- en exittarieven '!R148</f>
        <v>2.52E-6</v>
      </c>
    </row>
    <row r="70" spans="2:18">
      <c r="B70" s="3" t="s">
        <v>24</v>
      </c>
      <c r="H70" s="117"/>
      <c r="I70" s="120">
        <f>'8. Entry- en exittarieven '!I149</f>
        <v>9.9306399999999993E-3</v>
      </c>
      <c r="J70" s="39">
        <f>'8. Entry- en exittarieven '!J149</f>
        <v>4.4798099999999999E-3</v>
      </c>
      <c r="K70" s="39">
        <f>'8. Entry- en exittarieven '!K149</f>
        <v>1.8006000000000001E-4</v>
      </c>
      <c r="L70" s="85">
        <f>'8. Entry- en exittarieven '!L149</f>
        <v>7.5100000000000001E-6</v>
      </c>
      <c r="N70" s="117"/>
      <c r="O70" s="120">
        <f>'8. Entry- en exittarieven '!O149</f>
        <v>2.4826599999999998E-3</v>
      </c>
      <c r="P70" s="39">
        <f>'8. Entry- en exittarieven '!P149</f>
        <v>1.11995E-3</v>
      </c>
      <c r="Q70" s="63">
        <f>'8. Entry- en exittarieven '!Q149</f>
        <v>4.5019999999999999E-5</v>
      </c>
      <c r="R70" s="109">
        <f>'8. Entry- en exittarieven '!R149</f>
        <v>1.88E-6</v>
      </c>
    </row>
    <row r="71" spans="2:18">
      <c r="B71" s="3" t="s">
        <v>25</v>
      </c>
      <c r="H71" s="117"/>
      <c r="I71" s="120"/>
      <c r="J71" s="39">
        <f>'8. Entry- en exittarieven '!J150</f>
        <v>4.1009799999999997E-3</v>
      </c>
      <c r="K71" s="39">
        <f>'8. Entry- en exittarieven '!K150</f>
        <v>1.596E-4</v>
      </c>
      <c r="L71" s="85">
        <f>'8. Entry- en exittarieven '!L150</f>
        <v>6.6499999999999999E-6</v>
      </c>
      <c r="N71" s="117"/>
      <c r="O71" s="120"/>
      <c r="P71" s="39">
        <f>'8. Entry- en exittarieven '!P150</f>
        <v>1.0252499999999999E-3</v>
      </c>
      <c r="Q71" s="63">
        <f>'8. Entry- en exittarieven '!Q150</f>
        <v>3.9900000000000001E-5</v>
      </c>
      <c r="R71" s="109">
        <f>'8. Entry- en exittarieven '!R150</f>
        <v>1.6699999999999999E-6</v>
      </c>
    </row>
    <row r="72" spans="2:18">
      <c r="B72" s="3" t="s">
        <v>26</v>
      </c>
      <c r="H72" s="117"/>
      <c r="I72" s="120"/>
      <c r="J72" s="39">
        <f>'8. Entry- en exittarieven '!J151</f>
        <v>3.3322999999999998E-3</v>
      </c>
      <c r="K72" s="39">
        <f>'8. Entry- en exittarieven '!K151</f>
        <v>1.3407E-4</v>
      </c>
      <c r="L72" s="85">
        <f>'8. Entry- en exittarieven '!L151</f>
        <v>5.5899999999999998E-6</v>
      </c>
      <c r="N72" s="117"/>
      <c r="O72" s="120"/>
      <c r="P72" s="39">
        <f>'8. Entry- en exittarieven '!P151</f>
        <v>8.3306999999999999E-4</v>
      </c>
      <c r="Q72" s="63">
        <f>'8. Entry- en exittarieven '!Q151</f>
        <v>3.3519999999999998E-5</v>
      </c>
      <c r="R72" s="109">
        <f>'8. Entry- en exittarieven '!R151</f>
        <v>1.3999999999999999E-6</v>
      </c>
    </row>
    <row r="73" spans="2:18">
      <c r="B73" s="3" t="s">
        <v>27</v>
      </c>
      <c r="H73" s="117"/>
      <c r="I73" s="120">
        <f>'8. Entry- en exittarieven '!I152</f>
        <v>8.0548600000000005E-3</v>
      </c>
      <c r="J73" s="39">
        <f>'8. Entry- en exittarieven '!J152</f>
        <v>3.2517900000000001E-3</v>
      </c>
      <c r="K73" s="39">
        <f>'8. Entry- en exittarieven '!K152</f>
        <v>1.2647E-4</v>
      </c>
      <c r="L73" s="85">
        <f>'8. Entry- en exittarieven '!L152</f>
        <v>5.2699999999999995E-6</v>
      </c>
      <c r="N73" s="117"/>
      <c r="O73" s="120">
        <f>'8. Entry- en exittarieven '!O152</f>
        <v>2.0137200000000001E-3</v>
      </c>
      <c r="P73" s="39">
        <f>'8. Entry- en exittarieven '!P152</f>
        <v>8.1295E-4</v>
      </c>
      <c r="Q73" s="63">
        <f>'8. Entry- en exittarieven '!Q152</f>
        <v>3.1619999999999999E-5</v>
      </c>
      <c r="R73" s="109">
        <f>'8. Entry- en exittarieven '!R152</f>
        <v>1.3199999999999999E-6</v>
      </c>
    </row>
    <row r="74" spans="2:18">
      <c r="B74" s="3" t="s">
        <v>28</v>
      </c>
      <c r="H74" s="117"/>
      <c r="I74" s="120"/>
      <c r="J74" s="39">
        <f>'8. Entry- en exittarieven '!J153</f>
        <v>3.0912700000000001E-3</v>
      </c>
      <c r="K74" s="39">
        <f>'8. Entry- en exittarieven '!K153</f>
        <v>1.2043E-4</v>
      </c>
      <c r="L74" s="85">
        <f>'8. Entry- en exittarieven '!L153</f>
        <v>5.0200000000000002E-6</v>
      </c>
      <c r="N74" s="117"/>
      <c r="O74" s="120"/>
      <c r="P74" s="39">
        <f>'8. Entry- en exittarieven '!P153</f>
        <v>7.7282000000000002E-4</v>
      </c>
      <c r="Q74" s="63">
        <f>'8. Entry- en exittarieven '!Q153</f>
        <v>3.0110000000000001E-5</v>
      </c>
      <c r="R74" s="109">
        <f>'8. Entry- en exittarieven '!R153</f>
        <v>1.26E-6</v>
      </c>
    </row>
    <row r="75" spans="2:18">
      <c r="B75" s="3" t="s">
        <v>29</v>
      </c>
      <c r="H75" s="117"/>
      <c r="I75" s="120"/>
      <c r="J75" s="39">
        <f>'8. Entry- en exittarieven '!J154</f>
        <v>3.3222799999999999E-3</v>
      </c>
      <c r="K75" s="39">
        <f>'8. Entry- en exittarieven '!K154</f>
        <v>1.3368000000000001E-4</v>
      </c>
      <c r="L75" s="85">
        <f>'8. Entry- en exittarieven '!L154</f>
        <v>5.5799999999999999E-6</v>
      </c>
      <c r="N75" s="117"/>
      <c r="O75" s="120"/>
      <c r="P75" s="39">
        <f>'8. Entry- en exittarieven '!P154</f>
        <v>8.3056999999999998E-4</v>
      </c>
      <c r="Q75" s="63">
        <f>'8. Entry- en exittarieven '!Q154</f>
        <v>3.3420000000000002E-5</v>
      </c>
      <c r="R75" s="109">
        <f>'8. Entry- en exittarieven '!R154</f>
        <v>1.3999999999999999E-6</v>
      </c>
    </row>
    <row r="76" spans="2:18">
      <c r="B76" s="3" t="s">
        <v>30</v>
      </c>
      <c r="H76" s="117"/>
      <c r="I76" s="120">
        <f>'8. Entry- en exittarieven '!I155</f>
        <v>1.415044E-2</v>
      </c>
      <c r="J76" s="39">
        <f>'8. Entry- en exittarieven '!J155</f>
        <v>3.9404599999999998E-3</v>
      </c>
      <c r="K76" s="39">
        <f>'8. Entry- en exittarieven '!K155</f>
        <v>1.5336000000000001E-4</v>
      </c>
      <c r="L76" s="85">
        <f>'8. Entry- en exittarieven '!L155</f>
        <v>6.3999999999999997E-6</v>
      </c>
      <c r="N76" s="117"/>
      <c r="O76" s="120">
        <f>'8. Entry- en exittarieven '!O155</f>
        <v>3.5376100000000001E-3</v>
      </c>
      <c r="P76" s="39">
        <f>'8. Entry- en exittarieven '!P155</f>
        <v>9.8511999999999992E-4</v>
      </c>
      <c r="Q76" s="63">
        <f>'8. Entry- en exittarieven '!Q155</f>
        <v>3.8340000000000002E-5</v>
      </c>
      <c r="R76" s="109">
        <f>'8. Entry- en exittarieven '!R155</f>
        <v>1.5999999999999999E-6</v>
      </c>
    </row>
    <row r="77" spans="2:18">
      <c r="B77" s="3" t="s">
        <v>31</v>
      </c>
      <c r="H77" s="117"/>
      <c r="I77" s="120"/>
      <c r="J77" s="39">
        <f>'8. Entry- en exittarieven '!J156</f>
        <v>5.6623999999999997E-3</v>
      </c>
      <c r="K77" s="39">
        <f>'8. Entry- en exittarieven '!K156</f>
        <v>2.2761E-4</v>
      </c>
      <c r="L77" s="85">
        <f>'8. Entry- en exittarieven '!L156</f>
        <v>9.4900000000000006E-6</v>
      </c>
      <c r="N77" s="117"/>
      <c r="O77" s="120"/>
      <c r="P77" s="39">
        <f>'8. Entry- en exittarieven '!P156</f>
        <v>1.4155999999999999E-3</v>
      </c>
      <c r="Q77" s="63">
        <f>'8. Entry- en exittarieven '!Q156</f>
        <v>5.6900000000000001E-5</v>
      </c>
      <c r="R77" s="109">
        <f>'8. Entry- en exittarieven '!R156</f>
        <v>2.3800000000000001E-6</v>
      </c>
    </row>
    <row r="78" spans="2:18">
      <c r="B78" s="3" t="s">
        <v>32</v>
      </c>
      <c r="H78" s="117"/>
      <c r="I78" s="120"/>
      <c r="J78" s="39">
        <f>'8. Entry- en exittarieven '!J157</f>
        <v>7.37348E-3</v>
      </c>
      <c r="K78" s="39">
        <f>'8. Entry- en exittarieven '!K157</f>
        <v>2.8685000000000001E-4</v>
      </c>
      <c r="L78" s="85">
        <f>'8. Entry- en exittarieven '!L157</f>
        <v>1.1960000000000001E-5</v>
      </c>
      <c r="N78" s="117"/>
      <c r="O78" s="120"/>
      <c r="P78" s="39">
        <f>'8. Entry- en exittarieven '!P157</f>
        <v>1.84337E-3</v>
      </c>
      <c r="Q78" s="63">
        <f>'8. Entry- en exittarieven '!Q157</f>
        <v>7.1710000000000003E-5</v>
      </c>
      <c r="R78" s="109">
        <f>'8. Entry- en exittarieven '!R157</f>
        <v>2.9899999999999997E-6</v>
      </c>
    </row>
    <row r="79" spans="2:18">
      <c r="L79" s="71"/>
      <c r="R79" s="94"/>
    </row>
  </sheetData>
  <mergeCells count="52">
    <mergeCell ref="H50:H61"/>
    <mergeCell ref="I50:I52"/>
    <mergeCell ref="N50:N61"/>
    <mergeCell ref="O50:O52"/>
    <mergeCell ref="I53:I55"/>
    <mergeCell ref="O53:O55"/>
    <mergeCell ref="I56:I58"/>
    <mergeCell ref="O56:O58"/>
    <mergeCell ref="I59:I61"/>
    <mergeCell ref="O59:O61"/>
    <mergeCell ref="T16:T27"/>
    <mergeCell ref="U16:U18"/>
    <mergeCell ref="U19:U21"/>
    <mergeCell ref="U22:U24"/>
    <mergeCell ref="U25:U27"/>
    <mergeCell ref="T50:T61"/>
    <mergeCell ref="U50:U52"/>
    <mergeCell ref="U53:U55"/>
    <mergeCell ref="U56:U58"/>
    <mergeCell ref="U59:U61"/>
    <mergeCell ref="H67:H78"/>
    <mergeCell ref="I67:I69"/>
    <mergeCell ref="N67:N78"/>
    <mergeCell ref="O67:O69"/>
    <mergeCell ref="I70:I72"/>
    <mergeCell ref="O70:O72"/>
    <mergeCell ref="I73:I75"/>
    <mergeCell ref="O73:O75"/>
    <mergeCell ref="I76:I78"/>
    <mergeCell ref="O76:O78"/>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B8:F8"/>
    <mergeCell ref="N16:N27"/>
    <mergeCell ref="I16:I18"/>
    <mergeCell ref="I19:I21"/>
    <mergeCell ref="I22:I24"/>
    <mergeCell ref="I25:I27"/>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85833C4-056D-49E1-A5CB-169E708E73F2}">
          <x14:formula1>
            <xm:f>'2. Parameters'!$B$106:$B$120</xm:f>
          </x14:formula1>
          <xm:sqref>J8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58"/>
  <sheetViews>
    <sheetView showGridLines="0" zoomScale="80" zoomScaleNormal="80" workbookViewId="0">
      <pane xSplit="7" ySplit="7" topLeftCell="H8" activePane="bottomRight" state="frozen"/>
      <selection pane="topRight" activeCell="H1" sqref="H1"/>
      <selection pane="bottomLeft" activeCell="A8" sqref="A8"/>
      <selection pane="bottomRight" activeCell="H8" sqref="H8"/>
    </sheetView>
  </sheetViews>
  <sheetFormatPr defaultColWidth="9.140625" defaultRowHeight="12.75"/>
  <cols>
    <col min="1" max="1" width="2.5703125" style="3" customWidth="1"/>
    <col min="2" max="2" width="38.28515625" style="3" customWidth="1"/>
    <col min="3" max="3" width="2.5703125" style="3" customWidth="1"/>
    <col min="4" max="4" width="25.5703125" style="3" customWidth="1"/>
    <col min="5" max="5" width="2.5703125" style="3" customWidth="1"/>
    <col min="6" max="6" width="18.140625" style="3"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42578125" style="3" customWidth="1"/>
    <col min="26" max="29" width="15.5703125" style="3" customWidth="1"/>
    <col min="30" max="32" width="2.5703125" style="3" customWidth="1"/>
    <col min="33" max="47" width="13.5703125" style="3" customWidth="1"/>
    <col min="48" max="16384" width="9.140625" style="3"/>
  </cols>
  <sheetData>
    <row r="2" spans="2:26" s="8" customFormat="1" ht="18">
      <c r="B2" s="8" t="s">
        <v>175</v>
      </c>
    </row>
    <row r="4" spans="2:26">
      <c r="B4" s="11" t="s">
        <v>130</v>
      </c>
      <c r="C4" s="2"/>
    </row>
    <row r="5" spans="2:26">
      <c r="B5" s="116" t="s">
        <v>176</v>
      </c>
      <c r="C5" s="116"/>
      <c r="D5" s="116"/>
    </row>
    <row r="7" spans="2:26" s="6" customFormat="1">
      <c r="B7" s="6" t="s">
        <v>5</v>
      </c>
      <c r="D7" s="6" t="s">
        <v>42</v>
      </c>
      <c r="F7" s="6" t="s">
        <v>43</v>
      </c>
      <c r="Z7" s="6" t="s">
        <v>45</v>
      </c>
    </row>
    <row r="9" spans="2:26" s="6" customFormat="1">
      <c r="B9" s="6" t="s">
        <v>132</v>
      </c>
    </row>
    <row r="11" spans="2:26">
      <c r="B11" s="11" t="s">
        <v>68</v>
      </c>
    </row>
    <row r="12" spans="2:26">
      <c r="B12" s="3" t="s">
        <v>69</v>
      </c>
      <c r="F12" s="25">
        <f>'2. Parameters'!F35</f>
        <v>1.25</v>
      </c>
    </row>
    <row r="13" spans="2:26">
      <c r="B13" s="3" t="s">
        <v>70</v>
      </c>
      <c r="F13" s="25">
        <f>'2. Parameters'!F36</f>
        <v>1.5</v>
      </c>
    </row>
    <row r="14" spans="2:26">
      <c r="B14" s="3" t="s">
        <v>71</v>
      </c>
      <c r="F14" s="25">
        <f>'2. Parameters'!F37</f>
        <v>1.75</v>
      </c>
    </row>
    <row r="15" spans="2:26">
      <c r="B15" s="3" t="s">
        <v>72</v>
      </c>
      <c r="F15" s="25">
        <f>'2. Parameters'!F38</f>
        <v>1.75</v>
      </c>
    </row>
    <row r="17" spans="2:6">
      <c r="B17" s="2" t="s">
        <v>74</v>
      </c>
    </row>
    <row r="18" spans="2:6">
      <c r="B18" s="3" t="s">
        <v>75</v>
      </c>
      <c r="F18" s="25">
        <f>'2. Parameters'!F43</f>
        <v>1.482</v>
      </c>
    </row>
    <row r="19" spans="2:6">
      <c r="B19" s="3" t="s">
        <v>76</v>
      </c>
      <c r="F19" s="25">
        <f>'2. Parameters'!F44</f>
        <v>0.78400000000000003</v>
      </c>
    </row>
    <row r="20" spans="2:6">
      <c r="B20" s="3" t="s">
        <v>77</v>
      </c>
      <c r="F20" s="25">
        <f>'2. Parameters'!F45</f>
        <v>0.629</v>
      </c>
    </row>
    <row r="21" spans="2:6">
      <c r="B21" s="3" t="s">
        <v>78</v>
      </c>
      <c r="F21" s="25">
        <f>'2. Parameters'!F46</f>
        <v>1.105</v>
      </c>
    </row>
    <row r="23" spans="2:6">
      <c r="B23" s="2" t="s">
        <v>79</v>
      </c>
    </row>
    <row r="24" spans="2:6">
      <c r="B24" s="3" t="s">
        <v>21</v>
      </c>
      <c r="F24" s="25">
        <f>'2. Parameters'!F49</f>
        <v>1.7150000000000001</v>
      </c>
    </row>
    <row r="25" spans="2:6">
      <c r="B25" s="3" t="s">
        <v>22</v>
      </c>
      <c r="F25" s="25">
        <f>'2. Parameters'!F50</f>
        <v>1.5329999999999999</v>
      </c>
    </row>
    <row r="26" spans="2:6">
      <c r="B26" s="3" t="s">
        <v>23</v>
      </c>
      <c r="F26" s="25">
        <f>'2. Parameters'!F51</f>
        <v>1.1990000000000001</v>
      </c>
    </row>
    <row r="27" spans="2:6">
      <c r="B27" s="3" t="s">
        <v>24</v>
      </c>
      <c r="F27" s="25">
        <f>'2. Parameters'!F52</f>
        <v>0.89400000000000002</v>
      </c>
    </row>
    <row r="28" spans="2:6">
      <c r="B28" s="3" t="s">
        <v>25</v>
      </c>
      <c r="F28" s="25">
        <f>'2. Parameters'!F53</f>
        <v>0.79200000000000004</v>
      </c>
    </row>
    <row r="29" spans="2:6">
      <c r="B29" s="3" t="s">
        <v>26</v>
      </c>
      <c r="F29" s="25">
        <f>'2. Parameters'!F54</f>
        <v>0.66500000000000004</v>
      </c>
    </row>
    <row r="30" spans="2:6">
      <c r="B30" s="3" t="s">
        <v>27</v>
      </c>
      <c r="F30" s="25">
        <f>'2. Parameters'!F55</f>
        <v>0.628</v>
      </c>
    </row>
    <row r="31" spans="2:6">
      <c r="B31" s="3" t="s">
        <v>28</v>
      </c>
      <c r="F31" s="25">
        <f>'2. Parameters'!F56</f>
        <v>0.59699999999999998</v>
      </c>
    </row>
    <row r="32" spans="2:6">
      <c r="B32" s="3" t="s">
        <v>29</v>
      </c>
      <c r="F32" s="25">
        <f>'2. Parameters'!F57</f>
        <v>0.66300000000000003</v>
      </c>
    </row>
    <row r="33" spans="2:6">
      <c r="B33" s="3" t="s">
        <v>30</v>
      </c>
      <c r="F33" s="25">
        <f>'2. Parameters'!F58</f>
        <v>0.76100000000000001</v>
      </c>
    </row>
    <row r="34" spans="2:6">
      <c r="B34" s="3" t="s">
        <v>31</v>
      </c>
      <c r="F34" s="25">
        <f>'2. Parameters'!F59</f>
        <v>1.1299999999999999</v>
      </c>
    </row>
    <row r="35" spans="2:6">
      <c r="B35" s="3" t="s">
        <v>32</v>
      </c>
      <c r="F35" s="25">
        <f>'2. Parameters'!F60</f>
        <v>1.4239999999999999</v>
      </c>
    </row>
    <row r="37" spans="2:6">
      <c r="B37" s="2" t="s">
        <v>80</v>
      </c>
    </row>
    <row r="38" spans="2:6">
      <c r="B38" s="3" t="s">
        <v>21</v>
      </c>
      <c r="F38" s="31">
        <f>'2. Parameters'!F63</f>
        <v>1.7729999999999999</v>
      </c>
    </row>
    <row r="39" spans="2:6">
      <c r="B39" s="3" t="s">
        <v>22</v>
      </c>
      <c r="F39" s="31">
        <f>'2. Parameters'!F64</f>
        <v>1.585</v>
      </c>
    </row>
    <row r="40" spans="2:6">
      <c r="B40" s="3" t="s">
        <v>23</v>
      </c>
      <c r="F40" s="31">
        <f>'2. Parameters'!F65</f>
        <v>1.2390000000000001</v>
      </c>
    </row>
    <row r="41" spans="2:6">
      <c r="B41" s="3" t="s">
        <v>24</v>
      </c>
      <c r="F41" s="31">
        <f>'2. Parameters'!F66</f>
        <v>0.92400000000000004</v>
      </c>
    </row>
    <row r="42" spans="2:6">
      <c r="B42" s="3" t="s">
        <v>25</v>
      </c>
      <c r="F42" s="31">
        <f>'2. Parameters'!F67</f>
        <v>0.81899999999999995</v>
      </c>
    </row>
    <row r="43" spans="2:6">
      <c r="B43" s="3" t="s">
        <v>26</v>
      </c>
      <c r="F43" s="31">
        <f>'2. Parameters'!F68</f>
        <v>0.68799999999999994</v>
      </c>
    </row>
    <row r="44" spans="2:6">
      <c r="B44" s="3" t="s">
        <v>27</v>
      </c>
      <c r="F44" s="31">
        <f>'2. Parameters'!F69</f>
        <v>0.64900000000000002</v>
      </c>
    </row>
    <row r="45" spans="2:6">
      <c r="B45" s="3" t="s">
        <v>28</v>
      </c>
      <c r="F45" s="31">
        <f>'2. Parameters'!F70</f>
        <v>0.61799999999999999</v>
      </c>
    </row>
    <row r="46" spans="2:6">
      <c r="B46" s="3" t="s">
        <v>29</v>
      </c>
      <c r="F46" s="31">
        <f>'2. Parameters'!F71</f>
        <v>0.68600000000000005</v>
      </c>
    </row>
    <row r="47" spans="2:6">
      <c r="B47" s="3" t="s">
        <v>30</v>
      </c>
      <c r="F47" s="31">
        <f>'2. Parameters'!F72</f>
        <v>0.78700000000000003</v>
      </c>
    </row>
    <row r="48" spans="2:6">
      <c r="B48" s="3" t="s">
        <v>31</v>
      </c>
      <c r="F48" s="31">
        <f>'2. Parameters'!F73</f>
        <v>1.1679999999999999</v>
      </c>
    </row>
    <row r="49" spans="2:6">
      <c r="B49" s="3" t="s">
        <v>32</v>
      </c>
      <c r="F49" s="31">
        <f>'2. Parameters'!F74</f>
        <v>1.472</v>
      </c>
    </row>
    <row r="51" spans="2:6">
      <c r="B51" s="2" t="s">
        <v>82</v>
      </c>
    </row>
    <row r="52" spans="2:6">
      <c r="B52" s="3" t="s">
        <v>21</v>
      </c>
      <c r="F52" s="25">
        <f>'2. Parameters'!F79</f>
        <v>31</v>
      </c>
    </row>
    <row r="53" spans="2:6">
      <c r="B53" s="3" t="s">
        <v>22</v>
      </c>
      <c r="F53" s="25">
        <f>'2. Parameters'!F80</f>
        <v>28</v>
      </c>
    </row>
    <row r="54" spans="2:6">
      <c r="B54" s="3" t="s">
        <v>23</v>
      </c>
      <c r="F54" s="25">
        <f>'2. Parameters'!F81</f>
        <v>31</v>
      </c>
    </row>
    <row r="55" spans="2:6">
      <c r="B55" s="3" t="s">
        <v>24</v>
      </c>
      <c r="F55" s="25">
        <f>'2. Parameters'!F82</f>
        <v>30</v>
      </c>
    </row>
    <row r="56" spans="2:6">
      <c r="B56" s="3" t="s">
        <v>25</v>
      </c>
      <c r="F56" s="25">
        <f>'2. Parameters'!F83</f>
        <v>31</v>
      </c>
    </row>
    <row r="57" spans="2:6">
      <c r="B57" s="3" t="s">
        <v>26</v>
      </c>
      <c r="F57" s="25">
        <f>'2. Parameters'!F84</f>
        <v>30</v>
      </c>
    </row>
    <row r="58" spans="2:6">
      <c r="B58" s="3" t="s">
        <v>27</v>
      </c>
      <c r="F58" s="25">
        <f>'2. Parameters'!F85</f>
        <v>31</v>
      </c>
    </row>
    <row r="59" spans="2:6">
      <c r="B59" s="3" t="s">
        <v>28</v>
      </c>
      <c r="F59" s="25">
        <f>'2. Parameters'!F86</f>
        <v>31</v>
      </c>
    </row>
    <row r="60" spans="2:6">
      <c r="B60" s="3" t="s">
        <v>29</v>
      </c>
      <c r="F60" s="25">
        <f>'2. Parameters'!F87</f>
        <v>30</v>
      </c>
    </row>
    <row r="61" spans="2:6">
      <c r="B61" s="3" t="s">
        <v>30</v>
      </c>
      <c r="F61" s="25">
        <f>'2. Parameters'!F88</f>
        <v>31</v>
      </c>
    </row>
    <row r="62" spans="2:6">
      <c r="B62" s="3" t="s">
        <v>31</v>
      </c>
      <c r="F62" s="25">
        <f>'2. Parameters'!F89</f>
        <v>30</v>
      </c>
    </row>
    <row r="63" spans="2:6">
      <c r="B63" s="3" t="s">
        <v>32</v>
      </c>
      <c r="F63" s="25">
        <f>'2. Parameters'!F90</f>
        <v>31</v>
      </c>
    </row>
    <row r="65" spans="2:6">
      <c r="B65" s="2" t="s">
        <v>83</v>
      </c>
    </row>
    <row r="66" spans="2:6">
      <c r="B66" s="3" t="s">
        <v>75</v>
      </c>
      <c r="F66" s="25">
        <f>'2. Parameters'!F93</f>
        <v>90</v>
      </c>
    </row>
    <row r="67" spans="2:6">
      <c r="B67" s="3" t="s">
        <v>76</v>
      </c>
      <c r="F67" s="25">
        <f>'2. Parameters'!F94</f>
        <v>91</v>
      </c>
    </row>
    <row r="68" spans="2:6">
      <c r="B68" s="3" t="s">
        <v>77</v>
      </c>
      <c r="F68" s="25">
        <f>'2. Parameters'!F95</f>
        <v>92</v>
      </c>
    </row>
    <row r="69" spans="2:6">
      <c r="B69" s="3" t="s">
        <v>78</v>
      </c>
      <c r="F69" s="25">
        <f>'2. Parameters'!F96</f>
        <v>92</v>
      </c>
    </row>
    <row r="71" spans="2:6">
      <c r="B71" s="2" t="s">
        <v>84</v>
      </c>
    </row>
    <row r="72" spans="2:6">
      <c r="B72" s="3" t="s">
        <v>85</v>
      </c>
      <c r="F72" s="25">
        <f>'2. Parameters'!F99</f>
        <v>24</v>
      </c>
    </row>
    <row r="73" spans="2:6">
      <c r="B73" s="3" t="s">
        <v>86</v>
      </c>
      <c r="F73" s="25">
        <f>'2. Parameters'!F100</f>
        <v>365</v>
      </c>
    </row>
    <row r="74" spans="2:6">
      <c r="B74" s="3" t="s">
        <v>87</v>
      </c>
      <c r="F74" s="25">
        <f>'2. Parameters'!F101</f>
        <v>8760</v>
      </c>
    </row>
    <row r="75" spans="2:6">
      <c r="B75" s="2"/>
    </row>
    <row r="76" spans="2:6">
      <c r="B76" s="2" t="s">
        <v>65</v>
      </c>
    </row>
    <row r="77" spans="2:6">
      <c r="B77" s="3" t="s">
        <v>163</v>
      </c>
      <c r="D77" s="3" t="s">
        <v>46</v>
      </c>
      <c r="F77" s="25" t="str">
        <f>'1. Entry- en exittarieven'!J8</f>
        <v>Alle overige entry- en exitpunten</v>
      </c>
    </row>
    <row r="78" spans="2:6">
      <c r="B78" s="3" t="s">
        <v>164</v>
      </c>
      <c r="D78" s="3" t="s">
        <v>46</v>
      </c>
      <c r="F78" s="33">
        <f>_xlfn.XLOOKUP(F77,'2. Parameters'!B106:B120,'2. Parameters'!F106:F120)</f>
        <v>1E-4</v>
      </c>
    </row>
    <row r="79" spans="2:6">
      <c r="B79" s="3" t="s">
        <v>165</v>
      </c>
      <c r="D79" s="3" t="s">
        <v>46</v>
      </c>
      <c r="F79" s="33">
        <f>_xlfn.XLOOKUP(F77,'2. Parameters'!B123:B137,'2. Parameters'!F123:F137)</f>
        <v>1E-4</v>
      </c>
    </row>
    <row r="81" spans="2:33" s="6" customFormat="1">
      <c r="B81" s="6" t="s">
        <v>166</v>
      </c>
    </row>
    <row r="83" spans="2:33">
      <c r="B83" s="3" t="s">
        <v>154</v>
      </c>
      <c r="D83" s="3" t="s">
        <v>167</v>
      </c>
      <c r="F83" s="21">
        <f>'7. RPM'!M42</f>
        <v>4.7394542296174354E-2</v>
      </c>
    </row>
    <row r="84" spans="2:33">
      <c r="B84" s="3" t="s">
        <v>155</v>
      </c>
      <c r="D84" s="3" t="s">
        <v>167</v>
      </c>
      <c r="F84" s="21">
        <f>'7. RPM'!M43</f>
        <v>4.0648641246947968E-2</v>
      </c>
    </row>
    <row r="85" spans="2:33">
      <c r="B85" s="3" t="s">
        <v>156</v>
      </c>
      <c r="D85" s="3" t="s">
        <v>167</v>
      </c>
      <c r="F85" s="21">
        <f>'7. RPM'!M44</f>
        <v>1.1848635574043588E-2</v>
      </c>
      <c r="I85" s="61"/>
    </row>
    <row r="86" spans="2:33">
      <c r="B86" s="3" t="s">
        <v>157</v>
      </c>
      <c r="D86" s="3" t="s">
        <v>167</v>
      </c>
      <c r="F86" s="21">
        <f>'7. RPM'!M45</f>
        <v>1.0162160311736992E-2</v>
      </c>
    </row>
    <row r="87" spans="2:33">
      <c r="B87" s="3" t="s">
        <v>158</v>
      </c>
      <c r="D87" s="3" t="s">
        <v>167</v>
      </c>
      <c r="F87" s="21">
        <f>'7. RPM'!M46</f>
        <v>3.7915633836939487E-2</v>
      </c>
    </row>
    <row r="89" spans="2:33" s="22" customFormat="1">
      <c r="B89" s="22" t="s">
        <v>6</v>
      </c>
      <c r="H89" s="22" t="s">
        <v>7</v>
      </c>
      <c r="N89" s="22" t="s">
        <v>8</v>
      </c>
      <c r="T89" s="22" t="s">
        <v>9</v>
      </c>
    </row>
    <row r="90" spans="2:33" s="24" customFormat="1">
      <c r="B90" s="24" t="s">
        <v>10</v>
      </c>
      <c r="H90" s="24" t="s">
        <v>11</v>
      </c>
      <c r="I90" s="24" t="s">
        <v>12</v>
      </c>
      <c r="J90" s="24" t="s">
        <v>13</v>
      </c>
      <c r="K90" s="24" t="s">
        <v>14</v>
      </c>
      <c r="L90" s="24" t="s">
        <v>15</v>
      </c>
      <c r="N90" s="24" t="s">
        <v>11</v>
      </c>
      <c r="O90" s="24" t="s">
        <v>12</v>
      </c>
      <c r="P90" s="24" t="s">
        <v>13</v>
      </c>
      <c r="Q90" s="24" t="s">
        <v>14</v>
      </c>
      <c r="R90" s="24" t="s">
        <v>15</v>
      </c>
      <c r="T90" s="24" t="s">
        <v>11</v>
      </c>
      <c r="U90" s="24" t="s">
        <v>12</v>
      </c>
      <c r="V90" s="24" t="s">
        <v>13</v>
      </c>
      <c r="W90" s="24" t="s">
        <v>14</v>
      </c>
      <c r="X90" s="24" t="s">
        <v>15</v>
      </c>
    </row>
    <row r="91" spans="2:33" s="23" customFormat="1">
      <c r="H91" s="23" t="s">
        <v>16</v>
      </c>
      <c r="I91" s="23" t="s">
        <v>17</v>
      </c>
      <c r="J91" s="23" t="s">
        <v>18</v>
      </c>
      <c r="K91" s="23" t="s">
        <v>19</v>
      </c>
      <c r="L91" s="23" t="s">
        <v>20</v>
      </c>
      <c r="N91" s="23" t="s">
        <v>16</v>
      </c>
      <c r="O91" s="23" t="s">
        <v>17</v>
      </c>
      <c r="P91" s="23" t="s">
        <v>18</v>
      </c>
      <c r="Q91" s="23" t="s">
        <v>19</v>
      </c>
      <c r="R91" s="23" t="s">
        <v>20</v>
      </c>
      <c r="T91" s="23" t="s">
        <v>16</v>
      </c>
      <c r="U91" s="23" t="s">
        <v>17</v>
      </c>
      <c r="V91" s="23" t="s">
        <v>18</v>
      </c>
      <c r="W91" s="23" t="s">
        <v>19</v>
      </c>
      <c r="X91" s="23" t="s">
        <v>20</v>
      </c>
    </row>
    <row r="93" spans="2:33" ht="12.75" customHeight="1">
      <c r="B93" s="3" t="s">
        <v>21</v>
      </c>
      <c r="H93" s="124">
        <f>ROUND(F83,8)</f>
        <v>4.7394539999999999E-2</v>
      </c>
      <c r="I93" s="125">
        <f>ROUND($F$12*$F$18*$F$66/$F$73*$F$83,8)</f>
        <v>2.1648919999999999E-2</v>
      </c>
      <c r="J93" s="39">
        <f t="shared" ref="J93:J104" si="0">ROUND($F$13*$F24*$F52/$F$73*$F$83,8)</f>
        <v>1.0355059999999999E-2</v>
      </c>
      <c r="K93" s="39">
        <f t="shared" ref="K93:K104" si="1">ROUND($F$14*$F38/$F$73*$F$83,8)</f>
        <v>4.0288999999999999E-4</v>
      </c>
      <c r="L93" s="70">
        <f t="shared" ref="L93:L104" si="2">ROUNDUP($F$15*$F38/$F$74*$F$83,8)</f>
        <v>1.679E-5</v>
      </c>
      <c r="M93" s="40"/>
      <c r="N93" s="124">
        <f>ROUND(F85,8)</f>
        <v>1.1848640000000001E-2</v>
      </c>
      <c r="O93" s="125">
        <f>ROUND($F$12*$F$18*$F$66/$F$73*$F$85,8)</f>
        <v>5.4122299999999996E-3</v>
      </c>
      <c r="P93" s="39">
        <f>ROUND($F$13*$F$24*$F$52/$F$73*$F$85,8)</f>
        <v>2.5887599999999998E-3</v>
      </c>
      <c r="Q93" s="39">
        <f>ROUND($F$14*$F$38/$F$73*$F$85,8)</f>
        <v>1.0072E-4</v>
      </c>
      <c r="R93" s="75">
        <f t="shared" ref="R93:R104" si="3">ROUNDUP($F$15*$F38/$F$74*$F$85,8)</f>
        <v>4.1999999999999996E-6</v>
      </c>
      <c r="S93" s="96"/>
      <c r="T93" s="124">
        <f>ROUND(F87,8)</f>
        <v>3.7915629999999999E-2</v>
      </c>
      <c r="U93" s="125">
        <f>ROUND($F$12*$F$18*$F$66/$F$73*$F$87,8)</f>
        <v>1.7319129999999999E-2</v>
      </c>
      <c r="V93" s="97">
        <f t="shared" ref="V93:V104" si="4">ROUND($F$13*$F24*$F52/$F$73*$F$87,8)</f>
        <v>8.2840499999999994E-3</v>
      </c>
      <c r="W93" s="97">
        <f t="shared" ref="W93:W104" si="5">ROUND($F$14*$F38/$F$73*$F$87,8)</f>
        <v>3.2231000000000002E-4</v>
      </c>
      <c r="X93" s="75">
        <f t="shared" ref="X93:X104" si="6">ROUNDUP($F$15*$F38/$F$74*$F$87,8)</f>
        <v>1.343E-5</v>
      </c>
      <c r="Z93" s="126" t="s">
        <v>168</v>
      </c>
      <c r="AA93" s="126"/>
      <c r="AB93" s="126"/>
      <c r="AG93" s="68"/>
    </row>
    <row r="94" spans="2:33">
      <c r="B94" s="3" t="s">
        <v>22</v>
      </c>
      <c r="H94" s="124"/>
      <c r="I94" s="125"/>
      <c r="J94" s="39">
        <f t="shared" si="0"/>
        <v>8.3604000000000005E-3</v>
      </c>
      <c r="K94" s="39">
        <f t="shared" si="1"/>
        <v>3.6016999999999999E-4</v>
      </c>
      <c r="L94" s="70">
        <f t="shared" si="2"/>
        <v>1.501E-5</v>
      </c>
      <c r="M94" s="40"/>
      <c r="N94" s="124"/>
      <c r="O94" s="125"/>
      <c r="P94" s="39">
        <f>ROUND($F$13*$F$25*$F$53/$F$73*$F$85,8)</f>
        <v>2.0901000000000001E-3</v>
      </c>
      <c r="Q94" s="39">
        <f>ROUND($F$14*$F$39/$F$73*$F$85,8)</f>
        <v>9.0039999999999999E-5</v>
      </c>
      <c r="R94" s="75">
        <f t="shared" si="3"/>
        <v>3.76E-6</v>
      </c>
      <c r="S94" s="96"/>
      <c r="T94" s="124"/>
      <c r="U94" s="125"/>
      <c r="V94" s="97">
        <f t="shared" si="4"/>
        <v>6.6883200000000002E-3</v>
      </c>
      <c r="W94" s="97">
        <f t="shared" si="5"/>
        <v>2.8812999999999999E-4</v>
      </c>
      <c r="X94" s="75">
        <f t="shared" si="6"/>
        <v>1.201E-5</v>
      </c>
      <c r="Z94" s="126"/>
      <c r="AA94" s="126"/>
      <c r="AB94" s="126"/>
    </row>
    <row r="95" spans="2:33">
      <c r="B95" s="3" t="s">
        <v>23</v>
      </c>
      <c r="H95" s="124"/>
      <c r="I95" s="125"/>
      <c r="J95" s="39">
        <f t="shared" si="0"/>
        <v>7.2394800000000004E-3</v>
      </c>
      <c r="K95" s="39">
        <f t="shared" si="1"/>
        <v>2.8153999999999999E-4</v>
      </c>
      <c r="L95" s="70">
        <f t="shared" si="2"/>
        <v>1.1739999999999999E-5</v>
      </c>
      <c r="M95" s="40"/>
      <c r="N95" s="124"/>
      <c r="O95" s="125"/>
      <c r="P95" s="39">
        <f>ROUND($F$13*$F$26*$F$54/$F$73*$F$85,8)</f>
        <v>1.8098700000000001E-3</v>
      </c>
      <c r="Q95" s="39">
        <f>ROUND($F$14*$F$40/$F$73*$F$85,8)</f>
        <v>7.0389999999999995E-5</v>
      </c>
      <c r="R95" s="75">
        <f t="shared" si="3"/>
        <v>2.9399999999999998E-6</v>
      </c>
      <c r="S95" s="96"/>
      <c r="T95" s="124"/>
      <c r="U95" s="125"/>
      <c r="V95" s="97">
        <f t="shared" si="4"/>
        <v>5.7915900000000001E-3</v>
      </c>
      <c r="W95" s="97">
        <f t="shared" si="5"/>
        <v>2.2523000000000001E-4</v>
      </c>
      <c r="X95" s="75">
        <f t="shared" si="6"/>
        <v>9.3899999999999999E-6</v>
      </c>
      <c r="Z95" s="126"/>
      <c r="AA95" s="126"/>
      <c r="AB95" s="126"/>
    </row>
    <row r="96" spans="2:33">
      <c r="B96" s="3" t="s">
        <v>24</v>
      </c>
      <c r="H96" s="124"/>
      <c r="I96" s="125">
        <f>ROUND($F$12*$F$19*$F$67/$F$73*$F$83,8)</f>
        <v>1.1579849999999999E-2</v>
      </c>
      <c r="J96" s="39">
        <f t="shared" si="0"/>
        <v>5.2237899999999999E-3</v>
      </c>
      <c r="K96" s="39">
        <f t="shared" si="1"/>
        <v>2.0996E-4</v>
      </c>
      <c r="L96" s="70">
        <f t="shared" si="2"/>
        <v>8.7499999999999992E-6</v>
      </c>
      <c r="M96" s="40"/>
      <c r="N96" s="124"/>
      <c r="O96" s="125">
        <f>ROUND($F$12*$F$19*$F$67/$F$73*$F$85,8)</f>
        <v>2.8949599999999998E-3</v>
      </c>
      <c r="P96" s="39">
        <f>ROUND($F$13*$F$27*$F$55/$F$73*$F$85,8)</f>
        <v>1.3059499999999999E-3</v>
      </c>
      <c r="Q96" s="39">
        <f>ROUND($F$14*$F$41/$F$73*$F$85,8)</f>
        <v>5.2490000000000001E-5</v>
      </c>
      <c r="R96" s="75">
        <f t="shared" si="3"/>
        <v>2.1899999999999998E-6</v>
      </c>
      <c r="S96" s="96"/>
      <c r="T96" s="124"/>
      <c r="U96" s="125">
        <f>ROUND($F$12*$F$19*$F$67/$F$73*$F$87,8)</f>
        <v>9.2638800000000004E-3</v>
      </c>
      <c r="V96" s="97">
        <f t="shared" si="4"/>
        <v>4.1790300000000002E-3</v>
      </c>
      <c r="W96" s="97">
        <f t="shared" si="5"/>
        <v>1.6797000000000001E-4</v>
      </c>
      <c r="X96" s="75">
        <f t="shared" si="6"/>
        <v>6.9999999999999999E-6</v>
      </c>
      <c r="Z96" s="126"/>
      <c r="AA96" s="126"/>
      <c r="AB96" s="126"/>
    </row>
    <row r="97" spans="2:28">
      <c r="B97" s="3" t="s">
        <v>25</v>
      </c>
      <c r="H97" s="124"/>
      <c r="I97" s="125"/>
      <c r="J97" s="39">
        <f t="shared" si="0"/>
        <v>4.7820400000000004E-3</v>
      </c>
      <c r="K97" s="39">
        <f t="shared" si="1"/>
        <v>1.861E-4</v>
      </c>
      <c r="L97" s="70">
        <f t="shared" si="2"/>
        <v>7.7600000000000002E-6</v>
      </c>
      <c r="M97" s="40"/>
      <c r="N97" s="124"/>
      <c r="O97" s="125"/>
      <c r="P97" s="39">
        <f>ROUND($F$13*$F$28*$F$56/$F$73*$F$85,8)</f>
        <v>1.1955100000000001E-3</v>
      </c>
      <c r="Q97" s="39">
        <f>ROUND($F$14*$F$42/$F$73*$F$85,8)</f>
        <v>4.6529999999999997E-5</v>
      </c>
      <c r="R97" s="75">
        <f t="shared" si="3"/>
        <v>1.9400000000000001E-6</v>
      </c>
      <c r="S97" s="96"/>
      <c r="T97" s="124"/>
      <c r="U97" s="125"/>
      <c r="V97" s="97">
        <f t="shared" si="4"/>
        <v>3.8256399999999999E-3</v>
      </c>
      <c r="W97" s="97">
        <f t="shared" si="5"/>
        <v>1.4888E-4</v>
      </c>
      <c r="X97" s="75">
        <f t="shared" si="6"/>
        <v>6.2099999999999998E-6</v>
      </c>
      <c r="Z97" s="126"/>
      <c r="AA97" s="126"/>
      <c r="AB97" s="126"/>
    </row>
    <row r="98" spans="2:28">
      <c r="B98" s="3" t="s">
        <v>26</v>
      </c>
      <c r="H98" s="124"/>
      <c r="I98" s="125"/>
      <c r="J98" s="39">
        <f t="shared" si="0"/>
        <v>3.8857000000000002E-3</v>
      </c>
      <c r="K98" s="39">
        <f t="shared" si="1"/>
        <v>1.5634000000000001E-4</v>
      </c>
      <c r="L98" s="70">
        <f t="shared" si="2"/>
        <v>6.5200000000000003E-6</v>
      </c>
      <c r="M98" s="40"/>
      <c r="N98" s="124"/>
      <c r="O98" s="125"/>
      <c r="P98" s="39">
        <f>ROUND($F$13*$F$29*$F$57/$F$73*$F$85,8)</f>
        <v>9.7143000000000001E-4</v>
      </c>
      <c r="Q98" s="39">
        <f>ROUND($F$14*$F$43/$F$73*$F$85,8)</f>
        <v>3.9079999999999999E-5</v>
      </c>
      <c r="R98" s="75">
        <f t="shared" si="3"/>
        <v>1.6299999999999999E-6</v>
      </c>
      <c r="S98" s="96"/>
      <c r="T98" s="124"/>
      <c r="U98" s="125"/>
      <c r="V98" s="97">
        <f t="shared" si="4"/>
        <v>3.1085599999999998E-3</v>
      </c>
      <c r="W98" s="97">
        <f t="shared" si="5"/>
        <v>1.2506999999999999E-4</v>
      </c>
      <c r="X98" s="75">
        <f t="shared" si="6"/>
        <v>5.22E-6</v>
      </c>
      <c r="Z98" s="126"/>
      <c r="AA98" s="126"/>
      <c r="AB98" s="126"/>
    </row>
    <row r="99" spans="2:28">
      <c r="B99" s="3" t="s">
        <v>27</v>
      </c>
      <c r="H99" s="124"/>
      <c r="I99" s="125">
        <f>ROUND($F$12*$F$20*$F$68/$F$73*$F$83,8)</f>
        <v>9.3925599999999995E-3</v>
      </c>
      <c r="J99" s="39">
        <f t="shared" si="0"/>
        <v>3.79182E-3</v>
      </c>
      <c r="K99" s="39">
        <f t="shared" si="1"/>
        <v>1.4747E-4</v>
      </c>
      <c r="L99" s="70">
        <f t="shared" si="2"/>
        <v>6.1499999999999996E-6</v>
      </c>
      <c r="M99" s="40"/>
      <c r="N99" s="124"/>
      <c r="O99" s="125">
        <f>ROUND($F$12*$F$20*$F$68/$F$73*$F$85,8)</f>
        <v>2.3481399999999999E-3</v>
      </c>
      <c r="P99" s="39">
        <f>ROUND($F$13*$F$30*$F$58/$F$73*$F$85,8)</f>
        <v>9.4795999999999997E-4</v>
      </c>
      <c r="Q99" s="39">
        <f>ROUND($F$14*$F$44/$F$73*$F$85,8)</f>
        <v>3.6869999999999998E-5</v>
      </c>
      <c r="R99" s="75">
        <f t="shared" si="3"/>
        <v>1.5399999999999999E-6</v>
      </c>
      <c r="S99" s="96"/>
      <c r="T99" s="124"/>
      <c r="U99" s="125">
        <f>ROUND($F$12*$F$20*$F$68/$F$73*$F$87,8)</f>
        <v>7.5140500000000004E-3</v>
      </c>
      <c r="V99" s="97">
        <f t="shared" si="4"/>
        <v>3.03346E-3</v>
      </c>
      <c r="W99" s="97">
        <f t="shared" si="5"/>
        <v>1.1798000000000001E-4</v>
      </c>
      <c r="X99" s="75">
        <f t="shared" si="6"/>
        <v>4.9200000000000003E-6</v>
      </c>
      <c r="Z99" s="126"/>
      <c r="AA99" s="126"/>
      <c r="AB99" s="126"/>
    </row>
    <row r="100" spans="2:28">
      <c r="B100" s="3" t="s">
        <v>28</v>
      </c>
      <c r="H100" s="124"/>
      <c r="I100" s="125"/>
      <c r="J100" s="39">
        <f t="shared" si="0"/>
        <v>3.60465E-3</v>
      </c>
      <c r="K100" s="39">
        <f t="shared" si="1"/>
        <v>1.4043000000000001E-4</v>
      </c>
      <c r="L100" s="70">
        <f t="shared" si="2"/>
        <v>5.8599999999999998E-6</v>
      </c>
      <c r="M100" s="40"/>
      <c r="N100" s="124"/>
      <c r="O100" s="125"/>
      <c r="P100" s="39">
        <f>ROUND($F$13*$F$31*$F$59/$F$73*$F$85,8)</f>
        <v>9.0116000000000003E-4</v>
      </c>
      <c r="Q100" s="39">
        <f>ROUND($F$14*$F$45/$F$73*$F$85,8)</f>
        <v>3.5110000000000001E-5</v>
      </c>
      <c r="R100" s="75">
        <f t="shared" si="3"/>
        <v>1.4699999999999999E-6</v>
      </c>
      <c r="S100" s="96"/>
      <c r="T100" s="124"/>
      <c r="U100" s="125"/>
      <c r="V100" s="97">
        <f t="shared" si="4"/>
        <v>2.8837200000000002E-3</v>
      </c>
      <c r="W100" s="97">
        <f t="shared" si="5"/>
        <v>1.1234E-4</v>
      </c>
      <c r="X100" s="75">
        <f t="shared" si="6"/>
        <v>4.69E-6</v>
      </c>
      <c r="Z100" s="126"/>
      <c r="AA100" s="126"/>
      <c r="AB100" s="126"/>
    </row>
    <row r="101" spans="2:28">
      <c r="B101" s="3" t="s">
        <v>29</v>
      </c>
      <c r="H101" s="124"/>
      <c r="I101" s="125"/>
      <c r="J101" s="39">
        <f t="shared" si="0"/>
        <v>3.8740200000000002E-3</v>
      </c>
      <c r="K101" s="39">
        <f t="shared" si="1"/>
        <v>1.5588000000000001E-4</v>
      </c>
      <c r="L101" s="70">
        <f t="shared" si="2"/>
        <v>6.4999999999999996E-6</v>
      </c>
      <c r="M101" s="40"/>
      <c r="N101" s="124"/>
      <c r="O101" s="125"/>
      <c r="P101" s="39">
        <f>ROUND($F$13*$F$32*$F$60/$F$73*$F$85,8)</f>
        <v>9.6849999999999996E-4</v>
      </c>
      <c r="Q101" s="39">
        <f>ROUND($F$14*$F$46/$F$73*$F$85,8)</f>
        <v>3.8970000000000001E-5</v>
      </c>
      <c r="R101" s="75">
        <f t="shared" si="3"/>
        <v>1.6299999999999999E-6</v>
      </c>
      <c r="S101" s="96"/>
      <c r="T101" s="124"/>
      <c r="U101" s="125"/>
      <c r="V101" s="97">
        <f t="shared" si="4"/>
        <v>3.0992099999999998E-3</v>
      </c>
      <c r="W101" s="97">
        <f t="shared" si="5"/>
        <v>1.2470999999999999E-4</v>
      </c>
      <c r="X101" s="75">
        <f t="shared" si="6"/>
        <v>5.2000000000000002E-6</v>
      </c>
      <c r="Z101" s="126"/>
      <c r="AA101" s="126"/>
      <c r="AB101" s="126"/>
    </row>
    <row r="102" spans="2:28">
      <c r="B102" s="3" t="s">
        <v>30</v>
      </c>
      <c r="H102" s="124"/>
      <c r="I102" s="125">
        <f>ROUND($F$12*$F$21*$F$69/$F$73*$F$83,8)</f>
        <v>1.6500440000000002E-2</v>
      </c>
      <c r="J102" s="39">
        <f t="shared" si="0"/>
        <v>4.59487E-3</v>
      </c>
      <c r="K102" s="39">
        <f t="shared" si="1"/>
        <v>1.7882999999999999E-4</v>
      </c>
      <c r="L102" s="70">
        <f t="shared" si="2"/>
        <v>7.4599999999999997E-6</v>
      </c>
      <c r="M102" s="40"/>
      <c r="N102" s="124"/>
      <c r="O102" s="125">
        <f>ROUND($F$12*$F$21*$F$69/$F$73*$F$85,8)</f>
        <v>4.1251100000000004E-3</v>
      </c>
      <c r="P102" s="39">
        <f>ROUND($F$13*$F$33*$F$61/$F$73*$F$85,8)</f>
        <v>1.14872E-3</v>
      </c>
      <c r="Q102" s="39">
        <f>ROUND($F$14*$F$47/$F$73*$F$85,8)</f>
        <v>4.4709999999999997E-5</v>
      </c>
      <c r="R102" s="75">
        <f t="shared" si="3"/>
        <v>1.8699999999999999E-6</v>
      </c>
      <c r="S102" s="96"/>
      <c r="T102" s="124"/>
      <c r="U102" s="125">
        <f>ROUND($F$12*$F$21*$F$69/$F$73*$F$87,8)</f>
        <v>1.320035E-2</v>
      </c>
      <c r="V102" s="97">
        <f t="shared" si="4"/>
        <v>3.6758899999999998E-3</v>
      </c>
      <c r="W102" s="97">
        <f t="shared" si="5"/>
        <v>1.4307E-4</v>
      </c>
      <c r="X102" s="75">
        <f t="shared" si="6"/>
        <v>5.9699999999999996E-6</v>
      </c>
      <c r="Z102" s="126"/>
      <c r="AA102" s="126"/>
      <c r="AB102" s="126"/>
    </row>
    <row r="103" spans="2:28">
      <c r="B103" s="3" t="s">
        <v>31</v>
      </c>
      <c r="H103" s="124"/>
      <c r="I103" s="125"/>
      <c r="J103" s="39">
        <f t="shared" si="0"/>
        <v>6.60277E-3</v>
      </c>
      <c r="K103" s="39">
        <f t="shared" si="1"/>
        <v>2.6540999999999999E-4</v>
      </c>
      <c r="L103" s="70">
        <f t="shared" si="2"/>
        <v>1.1059999999999999E-5</v>
      </c>
      <c r="M103" s="40"/>
      <c r="N103" s="124"/>
      <c r="O103" s="125"/>
      <c r="P103" s="39">
        <f>ROUND($F$13*$F$34*$F$62/$F$73*$F$85,8)</f>
        <v>1.65069E-3</v>
      </c>
      <c r="Q103" s="39">
        <f>ROUND($F$14*$F$48/$F$73*$F$85,8)</f>
        <v>6.635E-5</v>
      </c>
      <c r="R103" s="75">
        <f t="shared" si="3"/>
        <v>2.7699999999999997E-6</v>
      </c>
      <c r="S103" s="96"/>
      <c r="T103" s="124"/>
      <c r="U103" s="125"/>
      <c r="V103" s="97">
        <f t="shared" si="4"/>
        <v>5.2822199999999998E-3</v>
      </c>
      <c r="W103" s="97">
        <f t="shared" si="5"/>
        <v>2.1232999999999999E-4</v>
      </c>
      <c r="X103" s="75">
        <f t="shared" si="6"/>
        <v>8.85E-6</v>
      </c>
      <c r="Z103" s="126"/>
      <c r="AA103" s="126"/>
      <c r="AB103" s="126"/>
    </row>
    <row r="104" spans="2:28">
      <c r="B104" s="3" t="s">
        <v>32</v>
      </c>
      <c r="H104" s="124"/>
      <c r="I104" s="125"/>
      <c r="J104" s="39">
        <f t="shared" si="0"/>
        <v>8.5980199999999996E-3</v>
      </c>
      <c r="K104" s="39">
        <f t="shared" si="1"/>
        <v>3.3449E-4</v>
      </c>
      <c r="L104" s="70">
        <f t="shared" si="2"/>
        <v>1.394E-5</v>
      </c>
      <c r="M104" s="40"/>
      <c r="N104" s="124"/>
      <c r="O104" s="125"/>
      <c r="P104" s="39">
        <f>ROUND($F$13*$F$35*$F$63/$F$73*$F$85,8)</f>
        <v>2.1494999999999999E-3</v>
      </c>
      <c r="Q104" s="39">
        <f>ROUND($F$14*$F$49/$F$73*$F$85,8)</f>
        <v>8.3620000000000002E-5</v>
      </c>
      <c r="R104" s="75">
        <f t="shared" si="3"/>
        <v>3.49E-6</v>
      </c>
      <c r="S104" s="96"/>
      <c r="T104" s="124"/>
      <c r="U104" s="125"/>
      <c r="V104" s="97">
        <f t="shared" si="4"/>
        <v>6.8784199999999997E-3</v>
      </c>
      <c r="W104" s="97">
        <f t="shared" si="5"/>
        <v>2.6759E-4</v>
      </c>
      <c r="X104" s="75">
        <f t="shared" si="6"/>
        <v>1.115E-5</v>
      </c>
      <c r="Z104" s="126"/>
      <c r="AA104" s="126"/>
      <c r="AB104" s="126"/>
    </row>
    <row r="105" spans="2:28">
      <c r="L105" s="71"/>
      <c r="R105" s="67"/>
      <c r="S105" s="67"/>
      <c r="T105" s="67"/>
      <c r="U105" s="67"/>
      <c r="V105" s="67"/>
      <c r="W105" s="67"/>
      <c r="X105" s="67"/>
    </row>
    <row r="106" spans="2:28">
      <c r="L106" s="71"/>
      <c r="R106" s="67"/>
      <c r="S106" s="67"/>
      <c r="T106" s="67"/>
      <c r="U106" s="67"/>
      <c r="V106" s="67"/>
      <c r="W106" s="67"/>
      <c r="X106" s="67"/>
    </row>
    <row r="107" spans="2:28" s="22" customFormat="1">
      <c r="B107" s="22" t="s">
        <v>33</v>
      </c>
      <c r="H107" s="22" t="s">
        <v>7</v>
      </c>
      <c r="L107" s="72"/>
      <c r="N107" s="22" t="s">
        <v>8</v>
      </c>
      <c r="R107" s="76"/>
      <c r="S107" s="76"/>
      <c r="T107" s="76"/>
      <c r="U107" s="76"/>
      <c r="V107" s="76"/>
      <c r="W107" s="76"/>
      <c r="X107" s="76"/>
    </row>
    <row r="108" spans="2:28" s="24" customFormat="1">
      <c r="B108" s="24" t="s">
        <v>169</v>
      </c>
      <c r="H108" s="24" t="s">
        <v>11</v>
      </c>
      <c r="I108" s="24" t="s">
        <v>12</v>
      </c>
      <c r="J108" s="24" t="s">
        <v>13</v>
      </c>
      <c r="K108" s="24" t="s">
        <v>14</v>
      </c>
      <c r="L108" s="73" t="s">
        <v>15</v>
      </c>
      <c r="N108" s="24" t="s">
        <v>11</v>
      </c>
      <c r="O108" s="24" t="s">
        <v>12</v>
      </c>
      <c r="P108" s="24" t="s">
        <v>13</v>
      </c>
      <c r="Q108" s="24" t="s">
        <v>14</v>
      </c>
      <c r="R108" s="77" t="s">
        <v>15</v>
      </c>
      <c r="S108" s="77"/>
      <c r="T108" s="77"/>
      <c r="U108" s="77"/>
      <c r="V108" s="77"/>
      <c r="W108" s="77"/>
      <c r="X108" s="77"/>
    </row>
    <row r="109" spans="2:28" s="23" customFormat="1">
      <c r="H109" s="23" t="s">
        <v>16</v>
      </c>
      <c r="I109" s="23" t="s">
        <v>17</v>
      </c>
      <c r="J109" s="23" t="s">
        <v>18</v>
      </c>
      <c r="K109" s="23" t="s">
        <v>19</v>
      </c>
      <c r="L109" s="74" t="s">
        <v>20</v>
      </c>
      <c r="N109" s="23" t="s">
        <v>16</v>
      </c>
      <c r="O109" s="23" t="s">
        <v>17</v>
      </c>
      <c r="P109" s="23" t="s">
        <v>18</v>
      </c>
      <c r="Q109" s="23" t="s">
        <v>19</v>
      </c>
      <c r="R109" s="78" t="s">
        <v>20</v>
      </c>
      <c r="S109" s="78"/>
      <c r="T109" s="78"/>
      <c r="U109" s="78"/>
      <c r="V109" s="78"/>
      <c r="W109" s="78"/>
      <c r="X109" s="78"/>
    </row>
    <row r="110" spans="2:28">
      <c r="L110" s="71"/>
      <c r="R110" s="67"/>
      <c r="S110" s="67"/>
      <c r="T110" s="67"/>
      <c r="U110" s="67"/>
      <c r="V110" s="67"/>
      <c r="W110" s="67"/>
      <c r="X110" s="67"/>
    </row>
    <row r="111" spans="2:28" ht="12.75" customHeight="1">
      <c r="B111" s="3" t="s">
        <v>21</v>
      </c>
      <c r="H111" s="124">
        <f>ROUND(F84,8)</f>
        <v>4.064864E-2</v>
      </c>
      <c r="I111" s="125">
        <f>ROUND($F$12*$F$18*$F$66/$F$73*$F$84,8)</f>
        <v>1.8567520000000001E-2</v>
      </c>
      <c r="J111" s="39">
        <f t="shared" ref="J111:J122" si="7">ROUND($F$13*$F24*$F52/$F$73*$F$84,8)</f>
        <v>8.8811700000000007E-3</v>
      </c>
      <c r="K111" s="39">
        <f t="shared" ref="K111:K122" si="8">ROUND($F$14*$F38/$F$73*$F$84,8)</f>
        <v>3.4553999999999997E-4</v>
      </c>
      <c r="L111" s="70">
        <f t="shared" ref="L111:L122" si="9">ROUNDUP($F$15*$F38/$F$74*$F$84,8)</f>
        <v>1.4399999999999999E-5</v>
      </c>
      <c r="N111" s="124">
        <f>ROUND(F86,8)</f>
        <v>1.016216E-2</v>
      </c>
      <c r="O111" s="125">
        <f>ROUND($F$12*$F$18*$F$66/$F$73*$F$86,8)</f>
        <v>4.6418800000000001E-3</v>
      </c>
      <c r="P111" s="39">
        <f t="shared" ref="P111:P122" si="10">ROUND($F$13*$F24*$F52/$F$73*$F$86,8)</f>
        <v>2.2202900000000002E-3</v>
      </c>
      <c r="Q111" s="39">
        <f t="shared" ref="Q111:Q122" si="11">ROUND($F$14*$F38/$F$73*$F$86,8)</f>
        <v>8.6390000000000005E-5</v>
      </c>
      <c r="R111" s="75">
        <f t="shared" ref="R111:R122" si="12">ROUNDUP($F$15*$F38/$F$74*$F$86,8)</f>
        <v>3.5999999999999998E-6</v>
      </c>
      <c r="S111" s="96"/>
      <c r="T111" s="126" t="s">
        <v>168</v>
      </c>
      <c r="U111" s="126"/>
      <c r="V111" s="126"/>
      <c r="W111" s="96"/>
      <c r="X111" s="96"/>
    </row>
    <row r="112" spans="2:28">
      <c r="B112" s="3" t="s">
        <v>22</v>
      </c>
      <c r="H112" s="124"/>
      <c r="I112" s="125"/>
      <c r="J112" s="39">
        <f t="shared" si="7"/>
        <v>7.1704200000000003E-3</v>
      </c>
      <c r="K112" s="39">
        <f t="shared" si="8"/>
        <v>3.0889999999999997E-4</v>
      </c>
      <c r="L112" s="70">
        <f t="shared" si="9"/>
        <v>1.288E-5</v>
      </c>
      <c r="N112" s="124"/>
      <c r="O112" s="125"/>
      <c r="P112" s="39">
        <f t="shared" si="10"/>
        <v>1.79261E-3</v>
      </c>
      <c r="Q112" s="39">
        <f t="shared" si="11"/>
        <v>7.7230000000000004E-5</v>
      </c>
      <c r="R112" s="75">
        <f t="shared" si="12"/>
        <v>3.2200000000000001E-6</v>
      </c>
      <c r="S112" s="96"/>
      <c r="T112" s="126"/>
      <c r="U112" s="126"/>
      <c r="V112" s="126"/>
      <c r="W112" s="96"/>
      <c r="X112" s="96"/>
    </row>
    <row r="113" spans="2:24">
      <c r="B113" s="3" t="s">
        <v>23</v>
      </c>
      <c r="H113" s="124"/>
      <c r="I113" s="125"/>
      <c r="J113" s="39">
        <f t="shared" si="7"/>
        <v>6.2090499999999998E-3</v>
      </c>
      <c r="K113" s="39">
        <f t="shared" si="8"/>
        <v>2.4147E-4</v>
      </c>
      <c r="L113" s="70">
        <f t="shared" si="9"/>
        <v>1.007E-5</v>
      </c>
      <c r="N113" s="124"/>
      <c r="O113" s="125"/>
      <c r="P113" s="39">
        <f t="shared" si="10"/>
        <v>1.55226E-3</v>
      </c>
      <c r="Q113" s="39">
        <f t="shared" si="11"/>
        <v>6.037E-5</v>
      </c>
      <c r="R113" s="75">
        <f t="shared" si="12"/>
        <v>2.52E-6</v>
      </c>
      <c r="S113" s="96"/>
      <c r="T113" s="126"/>
      <c r="U113" s="126"/>
      <c r="V113" s="126"/>
      <c r="W113" s="96"/>
      <c r="X113" s="96"/>
    </row>
    <row r="114" spans="2:24">
      <c r="B114" s="3" t="s">
        <v>24</v>
      </c>
      <c r="H114" s="124"/>
      <c r="I114" s="125">
        <f>ROUND($F$12*$F$19*$F$67/$F$73*$F$84,8)</f>
        <v>9.9316300000000003E-3</v>
      </c>
      <c r="J114" s="39">
        <f t="shared" si="7"/>
        <v>4.4802599999999998E-3</v>
      </c>
      <c r="K114" s="39">
        <f t="shared" si="8"/>
        <v>1.8008E-4</v>
      </c>
      <c r="L114" s="70">
        <f t="shared" si="9"/>
        <v>7.5100000000000001E-6</v>
      </c>
      <c r="N114" s="124"/>
      <c r="O114" s="125">
        <f>ROUND($F$12*$F$19*$F$67/$F$73*$F$86,8)</f>
        <v>2.4829100000000001E-3</v>
      </c>
      <c r="P114" s="39">
        <f t="shared" si="10"/>
        <v>1.12006E-3</v>
      </c>
      <c r="Q114" s="39">
        <f t="shared" si="11"/>
        <v>4.5019999999999999E-5</v>
      </c>
      <c r="R114" s="75">
        <f t="shared" si="12"/>
        <v>1.88E-6</v>
      </c>
      <c r="S114" s="96"/>
      <c r="T114" s="126"/>
      <c r="U114" s="126"/>
      <c r="V114" s="126"/>
      <c r="W114" s="96"/>
      <c r="X114" s="96"/>
    </row>
    <row r="115" spans="2:24">
      <c r="B115" s="3" t="s">
        <v>25</v>
      </c>
      <c r="H115" s="124"/>
      <c r="I115" s="125"/>
      <c r="J115" s="39">
        <f t="shared" si="7"/>
        <v>4.1013899999999999E-3</v>
      </c>
      <c r="K115" s="39">
        <f t="shared" si="8"/>
        <v>1.5961999999999999E-4</v>
      </c>
      <c r="L115" s="70">
        <f t="shared" si="9"/>
        <v>6.6599999999999998E-6</v>
      </c>
      <c r="N115" s="124"/>
      <c r="O115" s="125"/>
      <c r="P115" s="39">
        <f t="shared" si="10"/>
        <v>1.02535E-3</v>
      </c>
      <c r="Q115" s="39">
        <f t="shared" si="11"/>
        <v>3.9900000000000001E-5</v>
      </c>
      <c r="R115" s="75">
        <f t="shared" si="12"/>
        <v>1.6699999999999999E-6</v>
      </c>
      <c r="S115" s="96"/>
      <c r="T115" s="126"/>
      <c r="U115" s="126"/>
      <c r="V115" s="126"/>
      <c r="W115" s="96"/>
      <c r="X115" s="96"/>
    </row>
    <row r="116" spans="2:24">
      <c r="B116" s="3" t="s">
        <v>26</v>
      </c>
      <c r="H116" s="124"/>
      <c r="I116" s="125"/>
      <c r="J116" s="39">
        <f t="shared" si="7"/>
        <v>3.3326300000000001E-3</v>
      </c>
      <c r="K116" s="39">
        <f t="shared" si="8"/>
        <v>1.3407999999999999E-4</v>
      </c>
      <c r="L116" s="70">
        <f t="shared" si="9"/>
        <v>5.5899999999999998E-6</v>
      </c>
      <c r="N116" s="124"/>
      <c r="O116" s="125"/>
      <c r="P116" s="39">
        <f t="shared" si="10"/>
        <v>8.3316E-4</v>
      </c>
      <c r="Q116" s="39">
        <f t="shared" si="11"/>
        <v>3.3519999999999998E-5</v>
      </c>
      <c r="R116" s="75">
        <f t="shared" si="12"/>
        <v>1.3999999999999999E-6</v>
      </c>
      <c r="S116" s="96"/>
      <c r="T116" s="126"/>
      <c r="U116" s="126"/>
      <c r="V116" s="126"/>
      <c r="W116" s="96"/>
      <c r="X116" s="96"/>
    </row>
    <row r="117" spans="2:24">
      <c r="B117" s="3" t="s">
        <v>27</v>
      </c>
      <c r="H117" s="124"/>
      <c r="I117" s="125">
        <f>ROUND($F$12*$F$20*$F$68/$F$73*$F$84,8)</f>
        <v>8.0556699999999992E-3</v>
      </c>
      <c r="J117" s="39">
        <f t="shared" si="7"/>
        <v>3.2521099999999999E-3</v>
      </c>
      <c r="K117" s="39">
        <f t="shared" si="8"/>
        <v>1.2648E-4</v>
      </c>
      <c r="L117" s="70">
        <f t="shared" si="9"/>
        <v>5.2800000000000003E-6</v>
      </c>
      <c r="N117" s="124"/>
      <c r="O117" s="125">
        <f>ROUND($F$12*$F$20*$F$68/$F$73*$F$86,8)</f>
        <v>2.0139200000000002E-3</v>
      </c>
      <c r="P117" s="39">
        <f t="shared" si="10"/>
        <v>8.1302999999999996E-4</v>
      </c>
      <c r="Q117" s="39">
        <f t="shared" si="11"/>
        <v>3.1619999999999999E-5</v>
      </c>
      <c r="R117" s="75">
        <f t="shared" si="12"/>
        <v>1.3199999999999999E-6</v>
      </c>
      <c r="S117" s="96"/>
      <c r="T117" s="126"/>
      <c r="U117" s="126"/>
      <c r="V117" s="126"/>
      <c r="W117" s="96"/>
      <c r="X117" s="96"/>
    </row>
    <row r="118" spans="2:24">
      <c r="B118" s="3" t="s">
        <v>28</v>
      </c>
      <c r="H118" s="124"/>
      <c r="I118" s="125"/>
      <c r="J118" s="39">
        <f t="shared" si="7"/>
        <v>3.09158E-3</v>
      </c>
      <c r="K118" s="39">
        <f t="shared" si="8"/>
        <v>1.2044000000000001E-4</v>
      </c>
      <c r="L118" s="70">
        <f t="shared" si="9"/>
        <v>5.0200000000000002E-6</v>
      </c>
      <c r="N118" s="124"/>
      <c r="O118" s="125"/>
      <c r="P118" s="39">
        <f t="shared" si="10"/>
        <v>7.7289000000000004E-4</v>
      </c>
      <c r="Q118" s="39">
        <f t="shared" si="11"/>
        <v>3.0110000000000001E-5</v>
      </c>
      <c r="R118" s="75">
        <f t="shared" si="12"/>
        <v>1.26E-6</v>
      </c>
      <c r="S118" s="96"/>
      <c r="T118" s="126"/>
      <c r="U118" s="126"/>
      <c r="V118" s="126"/>
      <c r="W118" s="96"/>
      <c r="X118" s="96"/>
    </row>
    <row r="119" spans="2:24">
      <c r="B119" s="3" t="s">
        <v>29</v>
      </c>
      <c r="H119" s="124"/>
      <c r="I119" s="125"/>
      <c r="J119" s="39">
        <f t="shared" si="7"/>
        <v>3.3226100000000001E-3</v>
      </c>
      <c r="K119" s="39">
        <f t="shared" si="8"/>
        <v>1.337E-4</v>
      </c>
      <c r="L119" s="70">
        <f t="shared" si="9"/>
        <v>5.5799999999999999E-6</v>
      </c>
      <c r="N119" s="124"/>
      <c r="O119" s="125"/>
      <c r="P119" s="39">
        <f t="shared" si="10"/>
        <v>8.3065000000000005E-4</v>
      </c>
      <c r="Q119" s="39">
        <f t="shared" si="11"/>
        <v>3.3420000000000002E-5</v>
      </c>
      <c r="R119" s="75">
        <f t="shared" si="12"/>
        <v>1.3999999999999999E-6</v>
      </c>
      <c r="S119" s="96"/>
      <c r="T119" s="126"/>
      <c r="U119" s="126"/>
      <c r="V119" s="126"/>
      <c r="W119" s="96"/>
      <c r="X119" s="96"/>
    </row>
    <row r="120" spans="2:24">
      <c r="B120" s="3" t="s">
        <v>30</v>
      </c>
      <c r="H120" s="124"/>
      <c r="I120" s="125">
        <f>ROUND($F$12*$F$21*$F$69/$F$73*$F$84,8)</f>
        <v>1.4151850000000001E-2</v>
      </c>
      <c r="J120" s="39">
        <f t="shared" si="7"/>
        <v>3.94086E-3</v>
      </c>
      <c r="K120" s="39">
        <f t="shared" si="8"/>
        <v>1.5338E-4</v>
      </c>
      <c r="L120" s="70">
        <f t="shared" si="9"/>
        <v>6.3999999999999997E-6</v>
      </c>
      <c r="N120" s="124"/>
      <c r="O120" s="125">
        <f>ROUND($F$12*$F$21*$F$69/$F$73*$F$86,8)</f>
        <v>3.5379600000000001E-3</v>
      </c>
      <c r="P120" s="39">
        <f t="shared" si="10"/>
        <v>9.8521000000000004E-4</v>
      </c>
      <c r="Q120" s="39">
        <f t="shared" si="11"/>
        <v>3.8340000000000002E-5</v>
      </c>
      <c r="R120" s="75">
        <f t="shared" si="12"/>
        <v>1.5999999999999999E-6</v>
      </c>
      <c r="S120" s="96"/>
      <c r="T120" s="126"/>
      <c r="U120" s="126"/>
      <c r="V120" s="126"/>
      <c r="W120" s="96"/>
      <c r="X120" s="96"/>
    </row>
    <row r="121" spans="2:24">
      <c r="B121" s="3" t="s">
        <v>31</v>
      </c>
      <c r="H121" s="124"/>
      <c r="I121" s="125"/>
      <c r="J121" s="39">
        <f t="shared" si="7"/>
        <v>5.6629699999999998E-3</v>
      </c>
      <c r="K121" s="39">
        <f t="shared" si="8"/>
        <v>2.2762999999999999E-4</v>
      </c>
      <c r="L121" s="70">
        <f t="shared" si="9"/>
        <v>9.4900000000000006E-6</v>
      </c>
      <c r="N121" s="124"/>
      <c r="O121" s="125"/>
      <c r="P121" s="39">
        <f t="shared" si="10"/>
        <v>1.41574E-3</v>
      </c>
      <c r="Q121" s="39">
        <f t="shared" si="11"/>
        <v>5.6910000000000002E-5</v>
      </c>
      <c r="R121" s="75">
        <f t="shared" si="12"/>
        <v>2.3800000000000001E-6</v>
      </c>
      <c r="S121" s="96"/>
      <c r="T121" s="126"/>
      <c r="U121" s="126"/>
      <c r="V121" s="126"/>
      <c r="W121" s="96"/>
      <c r="X121" s="96"/>
    </row>
    <row r="122" spans="2:24">
      <c r="B122" s="3" t="s">
        <v>32</v>
      </c>
      <c r="H122" s="124"/>
      <c r="I122" s="125"/>
      <c r="J122" s="39">
        <f t="shared" si="7"/>
        <v>7.3742199999999999E-3</v>
      </c>
      <c r="K122" s="39">
        <f t="shared" si="8"/>
        <v>2.8687999999999999E-4</v>
      </c>
      <c r="L122" s="70">
        <f t="shared" si="9"/>
        <v>1.1960000000000001E-5</v>
      </c>
      <c r="N122" s="124"/>
      <c r="O122" s="125"/>
      <c r="P122" s="39">
        <f t="shared" si="10"/>
        <v>1.8435599999999999E-3</v>
      </c>
      <c r="Q122" s="39">
        <f t="shared" si="11"/>
        <v>7.1719999999999998E-5</v>
      </c>
      <c r="R122" s="75">
        <f t="shared" si="12"/>
        <v>2.9899999999999997E-6</v>
      </c>
      <c r="S122" s="96"/>
      <c r="T122" s="126"/>
      <c r="U122" s="126"/>
      <c r="V122" s="126"/>
      <c r="W122" s="96"/>
      <c r="X122" s="96"/>
    </row>
    <row r="123" spans="2:24">
      <c r="L123" s="71"/>
      <c r="R123" s="67"/>
      <c r="S123" s="67"/>
      <c r="T123" s="67"/>
      <c r="U123" s="67"/>
      <c r="V123" s="67"/>
      <c r="W123" s="67"/>
      <c r="X123" s="67"/>
    </row>
    <row r="124" spans="2:24">
      <c r="L124" s="71"/>
      <c r="R124" s="67"/>
      <c r="S124" s="67"/>
      <c r="T124" s="67"/>
      <c r="U124" s="67"/>
      <c r="V124" s="67"/>
      <c r="W124" s="67"/>
      <c r="X124" s="67"/>
    </row>
    <row r="125" spans="2:24" s="22" customFormat="1">
      <c r="B125" s="115" t="s">
        <v>35</v>
      </c>
      <c r="H125" s="22" t="s">
        <v>7</v>
      </c>
      <c r="L125" s="72"/>
      <c r="N125" s="22" t="s">
        <v>8</v>
      </c>
      <c r="R125" s="76"/>
      <c r="S125" s="76"/>
      <c r="T125" s="22" t="s">
        <v>9</v>
      </c>
    </row>
    <row r="126" spans="2:24" s="24" customFormat="1">
      <c r="B126" s="24" t="s">
        <v>170</v>
      </c>
      <c r="H126" s="24" t="s">
        <v>11</v>
      </c>
      <c r="I126" s="24" t="s">
        <v>12</v>
      </c>
      <c r="J126" s="24" t="s">
        <v>13</v>
      </c>
      <c r="K126" s="24" t="s">
        <v>14</v>
      </c>
      <c r="L126" s="73" t="s">
        <v>15</v>
      </c>
      <c r="N126" s="24" t="s">
        <v>11</v>
      </c>
      <c r="O126" s="24" t="s">
        <v>12</v>
      </c>
      <c r="P126" s="24" t="s">
        <v>13</v>
      </c>
      <c r="Q126" s="24" t="s">
        <v>14</v>
      </c>
      <c r="R126" s="77" t="s">
        <v>15</v>
      </c>
      <c r="S126" s="77"/>
      <c r="T126" s="24" t="s">
        <v>11</v>
      </c>
      <c r="U126" s="24" t="s">
        <v>12</v>
      </c>
      <c r="V126" s="24" t="s">
        <v>13</v>
      </c>
      <c r="W126" s="24" t="s">
        <v>14</v>
      </c>
      <c r="X126" s="24" t="s">
        <v>15</v>
      </c>
    </row>
    <row r="127" spans="2:24" s="23" customFormat="1">
      <c r="H127" s="23" t="s">
        <v>16</v>
      </c>
      <c r="I127" s="23" t="s">
        <v>17</v>
      </c>
      <c r="J127" s="23" t="s">
        <v>18</v>
      </c>
      <c r="K127" s="23" t="s">
        <v>19</v>
      </c>
      <c r="L127" s="74" t="s">
        <v>20</v>
      </c>
      <c r="N127" s="23" t="s">
        <v>16</v>
      </c>
      <c r="O127" s="23" t="s">
        <v>17</v>
      </c>
      <c r="P127" s="23" t="s">
        <v>18</v>
      </c>
      <c r="Q127" s="23" t="s">
        <v>19</v>
      </c>
      <c r="R127" s="78" t="s">
        <v>20</v>
      </c>
      <c r="S127" s="78"/>
      <c r="T127" s="23" t="s">
        <v>16</v>
      </c>
      <c r="U127" s="23" t="s">
        <v>17</v>
      </c>
      <c r="V127" s="23" t="s">
        <v>18</v>
      </c>
      <c r="W127" s="23" t="s">
        <v>19</v>
      </c>
      <c r="X127" s="23" t="s">
        <v>20</v>
      </c>
    </row>
    <row r="128" spans="2:24">
      <c r="J128" s="40"/>
      <c r="L128" s="71"/>
      <c r="R128" s="67"/>
      <c r="S128" s="67"/>
      <c r="T128" s="67"/>
      <c r="U128" s="67"/>
      <c r="V128" s="67"/>
      <c r="W128" s="67"/>
      <c r="X128" s="67"/>
    </row>
    <row r="129" spans="2:33">
      <c r="B129" s="3" t="s">
        <v>21</v>
      </c>
      <c r="H129" s="124">
        <f>ROUND((1-$F$78)*F83,8)</f>
        <v>4.7389800000000003E-2</v>
      </c>
      <c r="I129" s="125">
        <f>ROUND((1-$F$78)*$F$12*$F$18*$F$66/$F$73*$F$83,8)</f>
        <v>2.1646749999999999E-2</v>
      </c>
      <c r="J129" s="39">
        <f t="shared" ref="J129:J140" si="13">ROUND((1-$F$78)*$F$13*$F24*$F52/$F$73*$F$83,8)</f>
        <v>1.035402E-2</v>
      </c>
      <c r="K129" s="39">
        <f t="shared" ref="K129:K140" si="14">ROUND((1-$F$78)*$F$14*$F38/$F$73*$F$83,8)</f>
        <v>4.0285000000000001E-4</v>
      </c>
      <c r="L129" s="70">
        <f t="shared" ref="L129:L140" si="15">ROUNDUP((1-$F$78)*$F$15*$F38/$F$74*$F$83,8)</f>
        <v>1.679E-5</v>
      </c>
      <c r="N129" s="124">
        <f>ROUND((1-F78)*F85,8)</f>
        <v>1.1847450000000001E-2</v>
      </c>
      <c r="O129" s="125">
        <f>ROUND((1-$F$78)*$F$12*$F$18*$F$66/$F$73*$F$85,8)</f>
        <v>5.4116900000000003E-3</v>
      </c>
      <c r="P129" s="39">
        <f t="shared" ref="P129:P140" si="16">ROUND((1-$F$78)*$F$13*$F24*$F52/$F$73*$F$85,8)</f>
        <v>2.58851E-3</v>
      </c>
      <c r="Q129" s="39">
        <f t="shared" ref="Q129:Q140" si="17">ROUND((1-$F$78)*$F$14*$F38/$F$73*$F$85,8)</f>
        <v>1.0071E-4</v>
      </c>
      <c r="R129" s="75">
        <f t="shared" ref="R129:R140" si="18">ROUNDUP((1-$F$78)*$F$15*$F38/$F$74*$F$85,8)</f>
        <v>4.1999999999999996E-6</v>
      </c>
      <c r="S129" s="96"/>
      <c r="T129" s="124">
        <f>ROUND((1-F78)*F87,8)</f>
        <v>3.7911840000000002E-2</v>
      </c>
      <c r="U129" s="125">
        <f>ROUND((1-$F$78)*$F$12*$F$18*$F$66/$F$73*$F$87,8)</f>
        <v>1.73174E-2</v>
      </c>
      <c r="V129" s="97">
        <f t="shared" ref="V129:V140" si="19">ROUND((1-$F$78)*$F$13*$F24*$F52/$F$73*$F$87,8)</f>
        <v>8.2832200000000009E-3</v>
      </c>
      <c r="W129" s="97">
        <f t="shared" ref="W129:W140" si="20">ROUND((1-$F$78)*$F$14*$F38/$F$73*$F$87,8)</f>
        <v>3.2227999999999998E-4</v>
      </c>
      <c r="X129" s="75">
        <f t="shared" ref="X129:X140" si="21">ROUNDUP((1-$F$78)*$F$15*$F38/$F$74*$F$87,8)</f>
        <v>1.343E-5</v>
      </c>
      <c r="AG129" s="69"/>
    </row>
    <row r="130" spans="2:33">
      <c r="B130" s="3" t="s">
        <v>22</v>
      </c>
      <c r="H130" s="124"/>
      <c r="I130" s="125"/>
      <c r="J130" s="39">
        <f t="shared" si="13"/>
        <v>8.3595600000000003E-3</v>
      </c>
      <c r="K130" s="39">
        <f t="shared" si="14"/>
        <v>3.6013000000000001E-4</v>
      </c>
      <c r="L130" s="70">
        <f t="shared" si="15"/>
        <v>1.501E-5</v>
      </c>
      <c r="N130" s="124"/>
      <c r="O130" s="125"/>
      <c r="P130" s="39">
        <f t="shared" si="16"/>
        <v>2.0898900000000001E-3</v>
      </c>
      <c r="Q130" s="39">
        <f t="shared" si="17"/>
        <v>9.0030000000000004E-5</v>
      </c>
      <c r="R130" s="75">
        <f t="shared" si="18"/>
        <v>3.76E-6</v>
      </c>
      <c r="S130" s="96"/>
      <c r="T130" s="124"/>
      <c r="U130" s="125"/>
      <c r="V130" s="97">
        <f t="shared" si="19"/>
        <v>6.6876499999999998E-3</v>
      </c>
      <c r="W130" s="97">
        <f t="shared" si="20"/>
        <v>2.8810000000000001E-4</v>
      </c>
      <c r="X130" s="75">
        <f t="shared" si="21"/>
        <v>1.201E-5</v>
      </c>
      <c r="AG130" s="69"/>
    </row>
    <row r="131" spans="2:33">
      <c r="B131" s="3" t="s">
        <v>23</v>
      </c>
      <c r="H131" s="124"/>
      <c r="I131" s="125"/>
      <c r="J131" s="39">
        <f t="shared" si="13"/>
        <v>7.2387600000000003E-3</v>
      </c>
      <c r="K131" s="39">
        <f t="shared" si="14"/>
        <v>2.8151000000000001E-4</v>
      </c>
      <c r="L131" s="70">
        <f t="shared" si="15"/>
        <v>1.173E-5</v>
      </c>
      <c r="N131" s="124"/>
      <c r="O131" s="125"/>
      <c r="P131" s="39">
        <f t="shared" si="16"/>
        <v>1.8096900000000001E-3</v>
      </c>
      <c r="Q131" s="39">
        <f t="shared" si="17"/>
        <v>7.038E-5</v>
      </c>
      <c r="R131" s="75">
        <f t="shared" si="18"/>
        <v>2.9399999999999998E-6</v>
      </c>
      <c r="S131" s="96"/>
      <c r="T131" s="124"/>
      <c r="U131" s="125"/>
      <c r="V131" s="97">
        <f t="shared" si="19"/>
        <v>5.7910100000000001E-3</v>
      </c>
      <c r="W131" s="97">
        <f t="shared" si="20"/>
        <v>2.2520999999999999E-4</v>
      </c>
      <c r="X131" s="75">
        <f t="shared" si="21"/>
        <v>9.3899999999999999E-6</v>
      </c>
    </row>
    <row r="132" spans="2:33">
      <c r="B132" s="3" t="s">
        <v>24</v>
      </c>
      <c r="H132" s="124"/>
      <c r="I132" s="125">
        <f>ROUND((1-$F$78)*$F$12*$F$19*$F$67/$F$73*$F$83,8)</f>
        <v>1.1578690000000001E-2</v>
      </c>
      <c r="J132" s="39">
        <f t="shared" si="13"/>
        <v>5.2232700000000003E-3</v>
      </c>
      <c r="K132" s="39">
        <f t="shared" si="14"/>
        <v>2.0994000000000001E-4</v>
      </c>
      <c r="L132" s="70">
        <f t="shared" si="15"/>
        <v>8.7499999999999992E-6</v>
      </c>
      <c r="N132" s="124"/>
      <c r="O132" s="125">
        <f>ROUND((1-$F$78)*$F$12*$F$19*$F$67/$F$73*$F$85,8)</f>
        <v>2.8946699999999998E-3</v>
      </c>
      <c r="P132" s="39">
        <f t="shared" si="16"/>
        <v>1.3058200000000001E-3</v>
      </c>
      <c r="Q132" s="39">
        <f t="shared" si="17"/>
        <v>5.2490000000000001E-5</v>
      </c>
      <c r="R132" s="75">
        <f t="shared" si="18"/>
        <v>2.1899999999999998E-6</v>
      </c>
      <c r="S132" s="96"/>
      <c r="T132" s="124"/>
      <c r="U132" s="125">
        <f>ROUND((1-$F$78)*$F$12*$F$19*$F$67/$F$73*$F$87,8)</f>
        <v>9.2629500000000007E-3</v>
      </c>
      <c r="V132" s="97">
        <f t="shared" si="19"/>
        <v>4.1786100000000001E-3</v>
      </c>
      <c r="W132" s="97">
        <f t="shared" si="20"/>
        <v>1.6794999999999999E-4</v>
      </c>
      <c r="X132" s="75">
        <f t="shared" si="21"/>
        <v>6.9999999999999999E-6</v>
      </c>
    </row>
    <row r="133" spans="2:33">
      <c r="B133" s="3" t="s">
        <v>25</v>
      </c>
      <c r="H133" s="124"/>
      <c r="I133" s="125"/>
      <c r="J133" s="39">
        <f t="shared" si="13"/>
        <v>4.7815699999999997E-3</v>
      </c>
      <c r="K133" s="39">
        <f t="shared" si="14"/>
        <v>1.8609E-4</v>
      </c>
      <c r="L133" s="70">
        <f t="shared" si="15"/>
        <v>7.7600000000000002E-6</v>
      </c>
      <c r="N133" s="124"/>
      <c r="O133" s="125"/>
      <c r="P133" s="39">
        <f t="shared" si="16"/>
        <v>1.19539E-3</v>
      </c>
      <c r="Q133" s="39">
        <f t="shared" si="17"/>
        <v>4.6520000000000002E-5</v>
      </c>
      <c r="R133" s="75">
        <f t="shared" si="18"/>
        <v>1.9400000000000001E-6</v>
      </c>
      <c r="S133" s="96"/>
      <c r="T133" s="124"/>
      <c r="U133" s="125"/>
      <c r="V133" s="97">
        <f t="shared" si="19"/>
        <v>3.8252500000000001E-3</v>
      </c>
      <c r="W133" s="97">
        <f t="shared" si="20"/>
        <v>1.4887E-4</v>
      </c>
      <c r="X133" s="75">
        <f t="shared" si="21"/>
        <v>6.2099999999999998E-6</v>
      </c>
    </row>
    <row r="134" spans="2:33">
      <c r="B134" s="3" t="s">
        <v>26</v>
      </c>
      <c r="H134" s="124"/>
      <c r="I134" s="125"/>
      <c r="J134" s="39">
        <f t="shared" si="13"/>
        <v>3.8853099999999999E-3</v>
      </c>
      <c r="K134" s="39">
        <f t="shared" si="14"/>
        <v>1.5631999999999999E-4</v>
      </c>
      <c r="L134" s="70">
        <f t="shared" si="15"/>
        <v>6.5200000000000003E-6</v>
      </c>
      <c r="N134" s="124"/>
      <c r="O134" s="125"/>
      <c r="P134" s="39">
        <f t="shared" si="16"/>
        <v>9.7132999999999996E-4</v>
      </c>
      <c r="Q134" s="39">
        <f t="shared" si="17"/>
        <v>3.9079999999999999E-5</v>
      </c>
      <c r="R134" s="75">
        <f t="shared" si="18"/>
        <v>1.6299999999999999E-6</v>
      </c>
      <c r="S134" s="96"/>
      <c r="T134" s="124"/>
      <c r="U134" s="125"/>
      <c r="V134" s="97">
        <f t="shared" si="19"/>
        <v>3.1082499999999999E-3</v>
      </c>
      <c r="W134" s="97">
        <f t="shared" si="20"/>
        <v>1.2506E-4</v>
      </c>
      <c r="X134" s="75">
        <f t="shared" si="21"/>
        <v>5.22E-6</v>
      </c>
    </row>
    <row r="135" spans="2:33">
      <c r="B135" s="3" t="s">
        <v>27</v>
      </c>
      <c r="H135" s="124"/>
      <c r="I135" s="125">
        <f>ROUND((1-$F$78)*$F$12*$F$20*$F$68/$F$73*$F$83,8)</f>
        <v>9.3916199999999998E-3</v>
      </c>
      <c r="J135" s="39">
        <f t="shared" si="13"/>
        <v>3.7914400000000001E-3</v>
      </c>
      <c r="K135" s="39">
        <f t="shared" si="14"/>
        <v>1.4746E-4</v>
      </c>
      <c r="L135" s="70">
        <f t="shared" si="15"/>
        <v>6.1499999999999996E-6</v>
      </c>
      <c r="N135" s="124"/>
      <c r="O135" s="125">
        <f>ROUND((1-$F$78)*$F$12*$F$20*$F$68/$F$73*$F$85,8)</f>
        <v>2.3479099999999999E-3</v>
      </c>
      <c r="P135" s="39">
        <f t="shared" si="16"/>
        <v>9.4786000000000002E-4</v>
      </c>
      <c r="Q135" s="39">
        <f t="shared" si="17"/>
        <v>3.6869999999999998E-5</v>
      </c>
      <c r="R135" s="75">
        <f t="shared" si="18"/>
        <v>1.5399999999999999E-6</v>
      </c>
      <c r="S135" s="96"/>
      <c r="T135" s="124"/>
      <c r="U135" s="125">
        <f>ROUND((1-$F$78)*$F$12*$F$20*$F$68/$F$73*$F$87,8)</f>
        <v>7.5132999999999997E-3</v>
      </c>
      <c r="V135" s="97">
        <f t="shared" si="19"/>
        <v>3.03316E-3</v>
      </c>
      <c r="W135" s="97">
        <f t="shared" si="20"/>
        <v>1.1797E-4</v>
      </c>
      <c r="X135" s="75">
        <f t="shared" si="21"/>
        <v>4.9200000000000003E-6</v>
      </c>
    </row>
    <row r="136" spans="2:33">
      <c r="B136" s="3" t="s">
        <v>28</v>
      </c>
      <c r="H136" s="124"/>
      <c r="I136" s="125"/>
      <c r="J136" s="39">
        <f t="shared" si="13"/>
        <v>3.60429E-3</v>
      </c>
      <c r="K136" s="39">
        <f t="shared" si="14"/>
        <v>1.4041999999999999E-4</v>
      </c>
      <c r="L136" s="70">
        <f t="shared" si="15"/>
        <v>5.8599999999999998E-6</v>
      </c>
      <c r="N136" s="124"/>
      <c r="O136" s="125"/>
      <c r="P136" s="39">
        <f t="shared" si="16"/>
        <v>9.0107000000000002E-4</v>
      </c>
      <c r="Q136" s="39">
        <f t="shared" si="17"/>
        <v>3.5099999999999999E-5</v>
      </c>
      <c r="R136" s="75">
        <f t="shared" si="18"/>
        <v>1.4699999999999999E-6</v>
      </c>
      <c r="S136" s="96"/>
      <c r="T136" s="124"/>
      <c r="U136" s="125"/>
      <c r="V136" s="97">
        <f t="shared" si="19"/>
        <v>2.8834300000000002E-3</v>
      </c>
      <c r="W136" s="97">
        <f t="shared" si="20"/>
        <v>1.1233E-4</v>
      </c>
      <c r="X136" s="75">
        <f t="shared" si="21"/>
        <v>4.69E-6</v>
      </c>
    </row>
    <row r="137" spans="2:33">
      <c r="B137" s="3" t="s">
        <v>29</v>
      </c>
      <c r="H137" s="124"/>
      <c r="I137" s="125"/>
      <c r="J137" s="39">
        <f t="shared" si="13"/>
        <v>3.8736299999999999E-3</v>
      </c>
      <c r="K137" s="39">
        <f t="shared" si="14"/>
        <v>1.5587000000000001E-4</v>
      </c>
      <c r="L137" s="70">
        <f t="shared" si="15"/>
        <v>6.4999999999999996E-6</v>
      </c>
      <c r="N137" s="124"/>
      <c r="O137" s="125"/>
      <c r="P137" s="39">
        <f t="shared" si="16"/>
        <v>9.6840999999999995E-4</v>
      </c>
      <c r="Q137" s="39">
        <f t="shared" si="17"/>
        <v>3.8970000000000001E-5</v>
      </c>
      <c r="R137" s="75">
        <f t="shared" si="18"/>
        <v>1.6299999999999999E-6</v>
      </c>
      <c r="S137" s="96"/>
      <c r="T137" s="124"/>
      <c r="U137" s="125"/>
      <c r="V137" s="97">
        <f t="shared" si="19"/>
        <v>3.0988999999999999E-3</v>
      </c>
      <c r="W137" s="97">
        <f t="shared" si="20"/>
        <v>1.2469E-4</v>
      </c>
      <c r="X137" s="75">
        <f t="shared" si="21"/>
        <v>5.2000000000000002E-6</v>
      </c>
    </row>
    <row r="138" spans="2:33">
      <c r="B138" s="3" t="s">
        <v>30</v>
      </c>
      <c r="H138" s="124"/>
      <c r="I138" s="125">
        <f>ROUND((1-$F$78)*$F$12*$F$21*$F$69/$F$73*$F$83,8)</f>
        <v>1.6498789999999999E-2</v>
      </c>
      <c r="J138" s="39">
        <f t="shared" si="13"/>
        <v>4.5944100000000002E-3</v>
      </c>
      <c r="K138" s="39">
        <f t="shared" si="14"/>
        <v>1.7882E-4</v>
      </c>
      <c r="L138" s="70">
        <f t="shared" si="15"/>
        <v>7.4599999999999997E-6</v>
      </c>
      <c r="N138" s="124"/>
      <c r="O138" s="125">
        <f>ROUND((1-$F$78)*$F$12*$F$21*$F$69/$F$73*$F$85,8)</f>
        <v>4.1247000000000002E-3</v>
      </c>
      <c r="P138" s="39">
        <f t="shared" si="16"/>
        <v>1.1486000000000001E-3</v>
      </c>
      <c r="Q138" s="39">
        <f t="shared" si="17"/>
        <v>4.4700000000000002E-5</v>
      </c>
      <c r="R138" s="75">
        <f t="shared" si="18"/>
        <v>1.8699999999999999E-6</v>
      </c>
      <c r="S138" s="96"/>
      <c r="T138" s="124"/>
      <c r="U138" s="125">
        <f>ROUND((1-$F$78)*$F$12*$F$21*$F$69/$F$73*$F$87,8)</f>
        <v>1.319903E-2</v>
      </c>
      <c r="V138" s="97">
        <f t="shared" si="19"/>
        <v>3.6755300000000002E-3</v>
      </c>
      <c r="W138" s="97">
        <f t="shared" si="20"/>
        <v>1.4305000000000001E-4</v>
      </c>
      <c r="X138" s="75">
        <f t="shared" si="21"/>
        <v>5.9699999999999996E-6</v>
      </c>
    </row>
    <row r="139" spans="2:33">
      <c r="B139" s="3" t="s">
        <v>31</v>
      </c>
      <c r="H139" s="124"/>
      <c r="I139" s="125"/>
      <c r="J139" s="39">
        <f t="shared" si="13"/>
        <v>6.6021099999999996E-3</v>
      </c>
      <c r="K139" s="39">
        <f t="shared" si="14"/>
        <v>2.6538000000000001E-4</v>
      </c>
      <c r="L139" s="70">
        <f t="shared" si="15"/>
        <v>1.1059999999999999E-5</v>
      </c>
      <c r="N139" s="124"/>
      <c r="O139" s="125"/>
      <c r="P139" s="39">
        <f t="shared" si="16"/>
        <v>1.6505300000000001E-3</v>
      </c>
      <c r="Q139" s="39">
        <f t="shared" si="17"/>
        <v>6.635E-5</v>
      </c>
      <c r="R139" s="75">
        <f t="shared" si="18"/>
        <v>2.7699999999999997E-6</v>
      </c>
      <c r="S139" s="96"/>
      <c r="T139" s="124"/>
      <c r="U139" s="125"/>
      <c r="V139" s="97">
        <f t="shared" si="19"/>
        <v>5.2816900000000003E-3</v>
      </c>
      <c r="W139" s="97">
        <f t="shared" si="20"/>
        <v>2.1231000000000001E-4</v>
      </c>
      <c r="X139" s="75">
        <f t="shared" si="21"/>
        <v>8.85E-6</v>
      </c>
    </row>
    <row r="140" spans="2:33">
      <c r="B140" s="3" t="s">
        <v>32</v>
      </c>
      <c r="H140" s="124"/>
      <c r="I140" s="125"/>
      <c r="J140" s="39">
        <f t="shared" si="13"/>
        <v>8.5971599999999995E-3</v>
      </c>
      <c r="K140" s="39">
        <f t="shared" si="14"/>
        <v>3.3446000000000002E-4</v>
      </c>
      <c r="L140" s="70">
        <f t="shared" si="15"/>
        <v>1.394E-5</v>
      </c>
      <c r="N140" s="124"/>
      <c r="O140" s="125"/>
      <c r="P140" s="39">
        <f t="shared" si="16"/>
        <v>2.1492899999999999E-3</v>
      </c>
      <c r="Q140" s="39">
        <f t="shared" si="17"/>
        <v>8.3609999999999994E-5</v>
      </c>
      <c r="R140" s="75">
        <f t="shared" si="18"/>
        <v>3.49E-6</v>
      </c>
      <c r="S140" s="96"/>
      <c r="T140" s="124"/>
      <c r="U140" s="125"/>
      <c r="V140" s="97">
        <f t="shared" si="19"/>
        <v>6.8777300000000003E-3</v>
      </c>
      <c r="W140" s="97">
        <f t="shared" si="20"/>
        <v>2.6756000000000002E-4</v>
      </c>
      <c r="X140" s="75">
        <f t="shared" si="21"/>
        <v>1.115E-5</v>
      </c>
    </row>
    <row r="141" spans="2:33">
      <c r="L141" s="71"/>
      <c r="R141" s="67"/>
      <c r="S141" s="67"/>
      <c r="T141" s="67"/>
      <c r="U141" s="67"/>
      <c r="V141" s="67"/>
      <c r="W141" s="67"/>
      <c r="X141" s="67"/>
    </row>
    <row r="142" spans="2:33" s="22" customFormat="1">
      <c r="B142" s="115" t="s">
        <v>171</v>
      </c>
      <c r="H142" s="22" t="s">
        <v>7</v>
      </c>
      <c r="L142" s="72"/>
      <c r="N142" s="22" t="s">
        <v>8</v>
      </c>
      <c r="R142" s="76"/>
      <c r="S142" s="76"/>
      <c r="T142" s="76"/>
      <c r="U142" s="76"/>
      <c r="V142" s="76"/>
      <c r="W142" s="76"/>
      <c r="X142" s="76"/>
    </row>
    <row r="143" spans="2:33" s="24" customFormat="1">
      <c r="B143" s="24" t="s">
        <v>38</v>
      </c>
      <c r="H143" s="24" t="s">
        <v>11</v>
      </c>
      <c r="I143" s="24" t="s">
        <v>12</v>
      </c>
      <c r="J143" s="24" t="s">
        <v>13</v>
      </c>
      <c r="K143" s="24" t="s">
        <v>14</v>
      </c>
      <c r="L143" s="73" t="s">
        <v>15</v>
      </c>
      <c r="N143" s="24" t="s">
        <v>11</v>
      </c>
      <c r="O143" s="24" t="s">
        <v>12</v>
      </c>
      <c r="P143" s="24" t="s">
        <v>13</v>
      </c>
      <c r="Q143" s="24" t="s">
        <v>14</v>
      </c>
      <c r="R143" s="77" t="s">
        <v>15</v>
      </c>
      <c r="S143" s="77"/>
      <c r="T143" s="77"/>
      <c r="U143" s="77"/>
      <c r="V143" s="77"/>
      <c r="W143" s="77"/>
      <c r="X143" s="77"/>
    </row>
    <row r="144" spans="2:33" s="23" customFormat="1">
      <c r="H144" s="23" t="s">
        <v>16</v>
      </c>
      <c r="I144" s="23" t="s">
        <v>17</v>
      </c>
      <c r="J144" s="23" t="s">
        <v>18</v>
      </c>
      <c r="K144" s="23" t="s">
        <v>19</v>
      </c>
      <c r="L144" s="74" t="s">
        <v>20</v>
      </c>
      <c r="N144" s="23" t="s">
        <v>16</v>
      </c>
      <c r="O144" s="23" t="s">
        <v>17</v>
      </c>
      <c r="P144" s="23" t="s">
        <v>18</v>
      </c>
      <c r="Q144" s="23" t="s">
        <v>19</v>
      </c>
      <c r="R144" s="78" t="s">
        <v>20</v>
      </c>
      <c r="S144" s="78"/>
      <c r="T144" s="78"/>
      <c r="U144" s="78"/>
      <c r="V144" s="78"/>
      <c r="W144" s="78"/>
      <c r="X144" s="78"/>
    </row>
    <row r="145" spans="2:24">
      <c r="L145" s="71"/>
      <c r="R145" s="67"/>
      <c r="S145" s="67"/>
      <c r="T145" s="67"/>
      <c r="U145" s="67"/>
      <c r="V145" s="67"/>
      <c r="W145" s="67"/>
      <c r="X145" s="67"/>
    </row>
    <row r="146" spans="2:24">
      <c r="B146" s="3" t="s">
        <v>21</v>
      </c>
      <c r="H146" s="124">
        <f>ROUND((1-$F$79)*F84,8)</f>
        <v>4.064458E-2</v>
      </c>
      <c r="I146" s="125">
        <f>ROUND((1-$F$79)*$F$12*$F$18*$F$66/$F$73*$F$84,8)</f>
        <v>1.8565660000000001E-2</v>
      </c>
      <c r="J146" s="39">
        <f t="shared" ref="J146:J157" si="22">ROUND((1-$F$79)*$F$13*$F24*$F52/$F$73*$F$84,8)</f>
        <v>8.8802800000000008E-3</v>
      </c>
      <c r="K146" s="39">
        <f t="shared" ref="K146:K157" si="23">ROUND((1-$F$79)*$F$14*$F38/$F$73*$F$84,8)</f>
        <v>3.4550999999999999E-4</v>
      </c>
      <c r="L146" s="70">
        <f t="shared" ref="L146:L157" si="24">ROUNDUP((1-$F$79)*$F$15*$F38/$F$74*$F$84,8)</f>
        <v>1.4399999999999999E-5</v>
      </c>
      <c r="N146" s="124">
        <f>ROUND((1-$F$79)*F86,8)</f>
        <v>1.0161140000000001E-2</v>
      </c>
      <c r="O146" s="125">
        <f>ROUND((1-$F$79)*$F$12*$F$18*$F$66/$F$73*$F$86,8)</f>
        <v>4.6414200000000003E-3</v>
      </c>
      <c r="P146" s="39">
        <f t="shared" ref="P146:P157" si="25">ROUND((1-$F$79)*$F$13*$F24*$F52/$F$73*$F$86,8)</f>
        <v>2.2200700000000002E-3</v>
      </c>
      <c r="Q146" s="39">
        <f t="shared" ref="Q146:Q157" si="26">ROUND((1-$F$79)*$F$14*$F38/$F$73*$F$86,8)</f>
        <v>8.6379999999999996E-5</v>
      </c>
      <c r="R146" s="75">
        <f t="shared" ref="R146:R157" si="27">ROUNDUP((1-$F$79)*$F$15*$F38/$F$74*$F$86,8)</f>
        <v>3.5999999999999998E-6</v>
      </c>
      <c r="S146" s="96"/>
      <c r="T146" s="96"/>
      <c r="U146" s="96"/>
      <c r="V146" s="96"/>
      <c r="W146" s="96"/>
      <c r="X146" s="96"/>
    </row>
    <row r="147" spans="2:24">
      <c r="B147" s="3" t="s">
        <v>22</v>
      </c>
      <c r="H147" s="124"/>
      <c r="I147" s="125"/>
      <c r="J147" s="39">
        <f t="shared" si="22"/>
        <v>7.1697000000000002E-3</v>
      </c>
      <c r="K147" s="39">
        <f t="shared" si="23"/>
        <v>3.0886999999999999E-4</v>
      </c>
      <c r="L147" s="70">
        <f t="shared" si="24"/>
        <v>1.287E-5</v>
      </c>
      <c r="N147" s="124"/>
      <c r="O147" s="125"/>
      <c r="P147" s="39">
        <f t="shared" si="25"/>
        <v>1.79243E-3</v>
      </c>
      <c r="Q147" s="39">
        <f t="shared" si="26"/>
        <v>7.7219999999999996E-5</v>
      </c>
      <c r="R147" s="75">
        <f t="shared" si="27"/>
        <v>3.2200000000000001E-6</v>
      </c>
      <c r="S147" s="96"/>
      <c r="T147" s="96"/>
      <c r="U147" s="96"/>
      <c r="V147" s="96"/>
      <c r="W147" s="96"/>
      <c r="X147" s="96"/>
    </row>
    <row r="148" spans="2:24">
      <c r="B148" s="3" t="s">
        <v>23</v>
      </c>
      <c r="H148" s="124"/>
      <c r="I148" s="125"/>
      <c r="J148" s="39">
        <f t="shared" si="22"/>
        <v>6.20843E-3</v>
      </c>
      <c r="K148" s="39">
        <f t="shared" si="23"/>
        <v>2.4144999999999999E-4</v>
      </c>
      <c r="L148" s="70">
        <f t="shared" si="24"/>
        <v>1.007E-5</v>
      </c>
      <c r="N148" s="124"/>
      <c r="O148" s="125"/>
      <c r="P148" s="39">
        <f t="shared" si="25"/>
        <v>1.55211E-3</v>
      </c>
      <c r="Q148" s="39">
        <f t="shared" si="26"/>
        <v>6.0359999999999998E-5</v>
      </c>
      <c r="R148" s="75">
        <f t="shared" si="27"/>
        <v>2.52E-6</v>
      </c>
      <c r="S148" s="96"/>
      <c r="T148" s="96"/>
      <c r="U148" s="96"/>
      <c r="V148" s="96"/>
      <c r="W148" s="96"/>
      <c r="X148" s="96"/>
    </row>
    <row r="149" spans="2:24">
      <c r="B149" s="3" t="s">
        <v>24</v>
      </c>
      <c r="H149" s="124"/>
      <c r="I149" s="125">
        <f>ROUND((1-$F$79)*$F$12*$F$19*$F$67/$F$73*$F$84,8)</f>
        <v>9.9306399999999993E-3</v>
      </c>
      <c r="J149" s="39">
        <f t="shared" si="22"/>
        <v>4.4798099999999999E-3</v>
      </c>
      <c r="K149" s="39">
        <f t="shared" si="23"/>
        <v>1.8006000000000001E-4</v>
      </c>
      <c r="L149" s="70">
        <f t="shared" si="24"/>
        <v>7.5100000000000001E-6</v>
      </c>
      <c r="N149" s="124"/>
      <c r="O149" s="125">
        <f>ROUND((1-$F$79)*$F$12*$F$19*$F$67/$F$73*$F$86,8)</f>
        <v>2.4826599999999998E-3</v>
      </c>
      <c r="P149" s="39">
        <f t="shared" si="25"/>
        <v>1.11995E-3</v>
      </c>
      <c r="Q149" s="39">
        <f t="shared" si="26"/>
        <v>4.5019999999999999E-5</v>
      </c>
      <c r="R149" s="75">
        <f t="shared" si="27"/>
        <v>1.88E-6</v>
      </c>
      <c r="S149" s="96"/>
      <c r="T149" s="96"/>
      <c r="U149" s="96"/>
      <c r="V149" s="96"/>
      <c r="W149" s="96"/>
      <c r="X149" s="96"/>
    </row>
    <row r="150" spans="2:24">
      <c r="B150" s="3" t="s">
        <v>25</v>
      </c>
      <c r="H150" s="124"/>
      <c r="I150" s="125"/>
      <c r="J150" s="39">
        <f t="shared" si="22"/>
        <v>4.1009799999999997E-3</v>
      </c>
      <c r="K150" s="39">
        <f t="shared" si="23"/>
        <v>1.596E-4</v>
      </c>
      <c r="L150" s="70">
        <f t="shared" si="24"/>
        <v>6.6499999999999999E-6</v>
      </c>
      <c r="N150" s="124"/>
      <c r="O150" s="125"/>
      <c r="P150" s="39">
        <f t="shared" si="25"/>
        <v>1.0252499999999999E-3</v>
      </c>
      <c r="Q150" s="39">
        <f t="shared" si="26"/>
        <v>3.9900000000000001E-5</v>
      </c>
      <c r="R150" s="75">
        <f t="shared" si="27"/>
        <v>1.6699999999999999E-6</v>
      </c>
      <c r="S150" s="96"/>
      <c r="T150" s="96"/>
      <c r="U150" s="96"/>
      <c r="V150" s="96"/>
      <c r="W150" s="96"/>
      <c r="X150" s="96"/>
    </row>
    <row r="151" spans="2:24">
      <c r="B151" s="3" t="s">
        <v>26</v>
      </c>
      <c r="H151" s="124"/>
      <c r="I151" s="125"/>
      <c r="J151" s="39">
        <f t="shared" si="22"/>
        <v>3.3322999999999998E-3</v>
      </c>
      <c r="K151" s="39">
        <f t="shared" si="23"/>
        <v>1.3407E-4</v>
      </c>
      <c r="L151" s="70">
        <f t="shared" si="24"/>
        <v>5.5899999999999998E-6</v>
      </c>
      <c r="N151" s="124"/>
      <c r="O151" s="125"/>
      <c r="P151" s="39">
        <f t="shared" si="25"/>
        <v>8.3306999999999999E-4</v>
      </c>
      <c r="Q151" s="39">
        <f t="shared" si="26"/>
        <v>3.3519999999999998E-5</v>
      </c>
      <c r="R151" s="75">
        <f t="shared" si="27"/>
        <v>1.3999999999999999E-6</v>
      </c>
      <c r="S151" s="96"/>
      <c r="T151" s="96"/>
      <c r="U151" s="96"/>
      <c r="V151" s="96"/>
      <c r="W151" s="96"/>
      <c r="X151" s="96"/>
    </row>
    <row r="152" spans="2:24">
      <c r="B152" s="3" t="s">
        <v>27</v>
      </c>
      <c r="H152" s="124"/>
      <c r="I152" s="125">
        <f>ROUND((1-$F$79)*$F$12*$F$20*$F$68/$F$73*$F$84,8)</f>
        <v>8.0548600000000005E-3</v>
      </c>
      <c r="J152" s="39">
        <f t="shared" si="22"/>
        <v>3.2517900000000001E-3</v>
      </c>
      <c r="K152" s="39">
        <f t="shared" si="23"/>
        <v>1.2647E-4</v>
      </c>
      <c r="L152" s="70">
        <f t="shared" si="24"/>
        <v>5.2699999999999995E-6</v>
      </c>
      <c r="N152" s="124"/>
      <c r="O152" s="125">
        <f>ROUND((1-$F$79)*$F$12*$F$20*$F$68/$F$73*$F$86,8)</f>
        <v>2.0137200000000001E-3</v>
      </c>
      <c r="P152" s="39">
        <f t="shared" si="25"/>
        <v>8.1295E-4</v>
      </c>
      <c r="Q152" s="39">
        <f t="shared" si="26"/>
        <v>3.1619999999999999E-5</v>
      </c>
      <c r="R152" s="75">
        <f t="shared" si="27"/>
        <v>1.3199999999999999E-6</v>
      </c>
      <c r="S152" s="96"/>
      <c r="T152" s="96"/>
      <c r="U152" s="96"/>
      <c r="V152" s="96"/>
      <c r="W152" s="96"/>
      <c r="X152" s="96"/>
    </row>
    <row r="153" spans="2:24">
      <c r="B153" s="3" t="s">
        <v>28</v>
      </c>
      <c r="H153" s="124"/>
      <c r="I153" s="125"/>
      <c r="J153" s="39">
        <f t="shared" si="22"/>
        <v>3.0912700000000001E-3</v>
      </c>
      <c r="K153" s="39">
        <f t="shared" si="23"/>
        <v>1.2043E-4</v>
      </c>
      <c r="L153" s="70">
        <f t="shared" si="24"/>
        <v>5.0200000000000002E-6</v>
      </c>
      <c r="N153" s="124"/>
      <c r="O153" s="125"/>
      <c r="P153" s="39">
        <f t="shared" si="25"/>
        <v>7.7282000000000002E-4</v>
      </c>
      <c r="Q153" s="39">
        <f t="shared" si="26"/>
        <v>3.0110000000000001E-5</v>
      </c>
      <c r="R153" s="75">
        <f t="shared" si="27"/>
        <v>1.26E-6</v>
      </c>
      <c r="S153" s="96"/>
      <c r="T153" s="96"/>
      <c r="U153" s="96"/>
      <c r="V153" s="96"/>
      <c r="W153" s="96"/>
      <c r="X153" s="96"/>
    </row>
    <row r="154" spans="2:24">
      <c r="B154" s="3" t="s">
        <v>29</v>
      </c>
      <c r="H154" s="124"/>
      <c r="I154" s="125"/>
      <c r="J154" s="39">
        <f t="shared" si="22"/>
        <v>3.3222799999999999E-3</v>
      </c>
      <c r="K154" s="39">
        <f t="shared" si="23"/>
        <v>1.3368000000000001E-4</v>
      </c>
      <c r="L154" s="70">
        <f t="shared" si="24"/>
        <v>5.5799999999999999E-6</v>
      </c>
      <c r="N154" s="124"/>
      <c r="O154" s="125"/>
      <c r="P154" s="39">
        <f t="shared" si="25"/>
        <v>8.3056999999999998E-4</v>
      </c>
      <c r="Q154" s="39">
        <f t="shared" si="26"/>
        <v>3.3420000000000002E-5</v>
      </c>
      <c r="R154" s="75">
        <f t="shared" si="27"/>
        <v>1.3999999999999999E-6</v>
      </c>
      <c r="S154" s="96"/>
      <c r="T154" s="96"/>
      <c r="U154" s="96"/>
      <c r="V154" s="96"/>
      <c r="W154" s="96"/>
      <c r="X154" s="96"/>
    </row>
    <row r="155" spans="2:24">
      <c r="B155" s="3" t="s">
        <v>30</v>
      </c>
      <c r="H155" s="124"/>
      <c r="I155" s="125">
        <f>ROUND((1-$F$79)*$F$12*$F$21*$F$69/$F$73*$F$84,8)</f>
        <v>1.415044E-2</v>
      </c>
      <c r="J155" s="39">
        <f t="shared" si="22"/>
        <v>3.9404599999999998E-3</v>
      </c>
      <c r="K155" s="39">
        <f t="shared" si="23"/>
        <v>1.5336000000000001E-4</v>
      </c>
      <c r="L155" s="70">
        <f t="shared" si="24"/>
        <v>6.3999999999999997E-6</v>
      </c>
      <c r="N155" s="124"/>
      <c r="O155" s="125">
        <f>ROUND((1-$F$79)*$F$12*$F$21*$F$69/$F$73*$F$86,8)</f>
        <v>3.5376100000000001E-3</v>
      </c>
      <c r="P155" s="39">
        <f t="shared" si="25"/>
        <v>9.8511999999999992E-4</v>
      </c>
      <c r="Q155" s="39">
        <f t="shared" si="26"/>
        <v>3.8340000000000002E-5</v>
      </c>
      <c r="R155" s="75">
        <f t="shared" si="27"/>
        <v>1.5999999999999999E-6</v>
      </c>
      <c r="S155" s="96"/>
      <c r="T155" s="96"/>
      <c r="U155" s="96"/>
      <c r="V155" s="96"/>
      <c r="W155" s="96"/>
      <c r="X155" s="96"/>
    </row>
    <row r="156" spans="2:24">
      <c r="B156" s="3" t="s">
        <v>31</v>
      </c>
      <c r="H156" s="124"/>
      <c r="I156" s="125"/>
      <c r="J156" s="39">
        <f t="shared" si="22"/>
        <v>5.6623999999999997E-3</v>
      </c>
      <c r="K156" s="39">
        <f t="shared" si="23"/>
        <v>2.2761E-4</v>
      </c>
      <c r="L156" s="70">
        <f t="shared" si="24"/>
        <v>9.4900000000000006E-6</v>
      </c>
      <c r="N156" s="124"/>
      <c r="O156" s="125"/>
      <c r="P156" s="39">
        <f t="shared" si="25"/>
        <v>1.4155999999999999E-3</v>
      </c>
      <c r="Q156" s="39">
        <f t="shared" si="26"/>
        <v>5.6900000000000001E-5</v>
      </c>
      <c r="R156" s="75">
        <f t="shared" si="27"/>
        <v>2.3800000000000001E-6</v>
      </c>
      <c r="S156" s="96"/>
      <c r="T156" s="96"/>
      <c r="U156" s="96"/>
      <c r="V156" s="96"/>
      <c r="W156" s="96"/>
      <c r="X156" s="96"/>
    </row>
    <row r="157" spans="2:24">
      <c r="B157" s="3" t="s">
        <v>32</v>
      </c>
      <c r="H157" s="124"/>
      <c r="I157" s="125"/>
      <c r="J157" s="39">
        <f t="shared" si="22"/>
        <v>7.37348E-3</v>
      </c>
      <c r="K157" s="39">
        <f t="shared" si="23"/>
        <v>2.8685000000000001E-4</v>
      </c>
      <c r="L157" s="70">
        <f t="shared" si="24"/>
        <v>1.1960000000000001E-5</v>
      </c>
      <c r="N157" s="124"/>
      <c r="O157" s="125"/>
      <c r="P157" s="39">
        <f t="shared" si="25"/>
        <v>1.84337E-3</v>
      </c>
      <c r="Q157" s="39">
        <f t="shared" si="26"/>
        <v>7.1710000000000003E-5</v>
      </c>
      <c r="R157" s="75">
        <f t="shared" si="27"/>
        <v>2.9899999999999997E-6</v>
      </c>
      <c r="S157" s="96"/>
      <c r="T157" s="96"/>
      <c r="U157" s="96"/>
      <c r="V157" s="96"/>
      <c r="W157" s="96"/>
      <c r="X157" s="96"/>
    </row>
    <row r="158" spans="2:24">
      <c r="H158" s="55"/>
      <c r="I158" s="56"/>
      <c r="J158" s="57"/>
      <c r="K158" s="57"/>
      <c r="L158" s="58"/>
      <c r="N158" s="55"/>
      <c r="O158" s="56"/>
      <c r="P158" s="57"/>
      <c r="Q158" s="57"/>
      <c r="R158" s="58"/>
      <c r="S158" s="58"/>
      <c r="T158" s="58"/>
      <c r="U158" s="58"/>
      <c r="V158" s="58"/>
      <c r="W158" s="58"/>
      <c r="X158" s="58"/>
    </row>
  </sheetData>
  <mergeCells count="53">
    <mergeCell ref="O93:O95"/>
    <mergeCell ref="I96:I98"/>
    <mergeCell ref="O96:O98"/>
    <mergeCell ref="I99:I101"/>
    <mergeCell ref="O99:O101"/>
    <mergeCell ref="T93:T104"/>
    <mergeCell ref="U93:U95"/>
    <mergeCell ref="U96:U98"/>
    <mergeCell ref="U99:U101"/>
    <mergeCell ref="U102:U104"/>
    <mergeCell ref="T129:T140"/>
    <mergeCell ref="U129:U131"/>
    <mergeCell ref="U132:U134"/>
    <mergeCell ref="U135:U137"/>
    <mergeCell ref="U138:U140"/>
    <mergeCell ref="Z93:AB104"/>
    <mergeCell ref="T111:V122"/>
    <mergeCell ref="B5:D5"/>
    <mergeCell ref="H111:H122"/>
    <mergeCell ref="I111:I113"/>
    <mergeCell ref="N111:N122"/>
    <mergeCell ref="O111:O113"/>
    <mergeCell ref="I114:I116"/>
    <mergeCell ref="O114:O116"/>
    <mergeCell ref="I117:I119"/>
    <mergeCell ref="O117:O119"/>
    <mergeCell ref="I120:I122"/>
    <mergeCell ref="O120:O122"/>
    <mergeCell ref="H93:H104"/>
    <mergeCell ref="I93:I95"/>
    <mergeCell ref="N93:N104"/>
    <mergeCell ref="I102:I104"/>
    <mergeCell ref="O102:O104"/>
    <mergeCell ref="H129:H140"/>
    <mergeCell ref="I129:I131"/>
    <mergeCell ref="N129:N140"/>
    <mergeCell ref="O129:O131"/>
    <mergeCell ref="I132:I134"/>
    <mergeCell ref="O132:O134"/>
    <mergeCell ref="I135:I137"/>
    <mergeCell ref="O135:O137"/>
    <mergeCell ref="I138:I140"/>
    <mergeCell ref="O138:O140"/>
    <mergeCell ref="H146:H157"/>
    <mergeCell ref="I146:I148"/>
    <mergeCell ref="N146:N157"/>
    <mergeCell ref="O146:O148"/>
    <mergeCell ref="I149:I151"/>
    <mergeCell ref="O149:O151"/>
    <mergeCell ref="I152:I154"/>
    <mergeCell ref="O152:O154"/>
    <mergeCell ref="I155:I157"/>
    <mergeCell ref="O155:O157"/>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Parameters'!$B$106:$B$123</xm:f>
          </x14:formula1>
          <xm:sqref>H5:J5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U137"/>
  <sheetViews>
    <sheetView showGridLines="0" zoomScale="85" zoomScaleNormal="85" workbookViewId="0">
      <pane xSplit="4" ySplit="7" topLeftCell="E8" activePane="bottomRight" state="frozen"/>
      <selection pane="topRight"/>
      <selection pane="bottomLeft"/>
      <selection pane="bottomRight"/>
    </sheetView>
  </sheetViews>
  <sheetFormatPr defaultColWidth="9.140625" defaultRowHeight="12.75"/>
  <cols>
    <col min="1" max="1" width="2.5703125" style="3" customWidth="1"/>
    <col min="2" max="2" width="53.42578125" style="3" customWidth="1"/>
    <col min="3" max="3" width="2.5703125" style="3" customWidth="1"/>
    <col min="4" max="4" width="15.140625" style="3" bestFit="1" customWidth="1"/>
    <col min="5" max="5" width="2.5703125" style="3" customWidth="1"/>
    <col min="6" max="6" width="13.5703125" style="3" customWidth="1"/>
    <col min="7" max="7" width="2.5703125" style="3" customWidth="1"/>
    <col min="8" max="8" width="13" style="3" bestFit="1" customWidth="1"/>
    <col min="9" max="9" width="12.5703125" style="3" customWidth="1"/>
    <col min="10" max="10" width="13" style="3" bestFit="1" customWidth="1"/>
    <col min="11" max="11" width="12.5703125" style="3" customWidth="1"/>
    <col min="12" max="12" width="17.42578125" style="3" bestFit="1" customWidth="1"/>
    <col min="13" max="17" width="12.5703125" style="3" customWidth="1"/>
    <col min="18" max="18" width="2.5703125" style="3" customWidth="1"/>
    <col min="19" max="19" width="40.140625" style="3" bestFit="1" customWidth="1"/>
    <col min="20" max="20" width="2.5703125" style="3" customWidth="1"/>
    <col min="21" max="34" width="13.5703125" style="3" customWidth="1"/>
    <col min="35" max="16384" width="9.140625" style="3"/>
  </cols>
  <sheetData>
    <row r="2" spans="2:21" s="8" customFormat="1" ht="18">
      <c r="B2" s="8" t="s">
        <v>39</v>
      </c>
    </row>
    <row r="4" spans="2:21">
      <c r="B4" s="11" t="s">
        <v>40</v>
      </c>
      <c r="C4" s="2"/>
      <c r="I4"/>
      <c r="K4"/>
    </row>
    <row r="5" spans="2:21" ht="28.5" customHeight="1">
      <c r="B5" s="116" t="s">
        <v>41</v>
      </c>
      <c r="C5" s="116"/>
      <c r="D5" s="116"/>
      <c r="F5" s="9"/>
    </row>
    <row r="7" spans="2:21" s="6" customFormat="1">
      <c r="B7" s="6" t="s">
        <v>5</v>
      </c>
      <c r="D7" s="6" t="s">
        <v>42</v>
      </c>
      <c r="F7" s="6" t="s">
        <v>43</v>
      </c>
      <c r="H7" s="29">
        <v>2017</v>
      </c>
      <c r="I7" s="30">
        <v>2018</v>
      </c>
      <c r="J7" s="29">
        <v>2019</v>
      </c>
      <c r="K7" s="30">
        <v>2020</v>
      </c>
      <c r="L7" s="29">
        <v>2021</v>
      </c>
      <c r="M7" s="29">
        <v>2022</v>
      </c>
      <c r="N7" s="29">
        <v>2023</v>
      </c>
      <c r="O7" s="29">
        <v>2024</v>
      </c>
      <c r="P7" s="29">
        <v>2025</v>
      </c>
      <c r="Q7" s="29">
        <v>2026</v>
      </c>
      <c r="S7" s="6" t="s">
        <v>44</v>
      </c>
      <c r="U7" s="6" t="s">
        <v>45</v>
      </c>
    </row>
    <row r="9" spans="2:21" s="6" customFormat="1">
      <c r="B9" s="6" t="s">
        <v>55</v>
      </c>
    </row>
    <row r="11" spans="2:21">
      <c r="B11" s="48" t="s">
        <v>55</v>
      </c>
    </row>
    <row r="12" spans="2:21">
      <c r="B12" s="3" t="s">
        <v>56</v>
      </c>
      <c r="L12" s="46">
        <v>0.02</v>
      </c>
      <c r="M12" s="46">
        <v>0.02</v>
      </c>
      <c r="N12" s="46">
        <v>0.02</v>
      </c>
      <c r="O12" s="46">
        <v>0.04</v>
      </c>
      <c r="P12" s="106">
        <v>7.0000000000000007E-2</v>
      </c>
      <c r="Q12" s="106">
        <v>0.05</v>
      </c>
      <c r="S12" s="3" t="s">
        <v>57</v>
      </c>
      <c r="U12" s="3" t="s">
        <v>58</v>
      </c>
    </row>
    <row r="14" spans="2:21">
      <c r="B14" s="2" t="s">
        <v>59</v>
      </c>
    </row>
    <row r="15" spans="2:21">
      <c r="B15" s="18" t="s">
        <v>48</v>
      </c>
      <c r="D15" s="3" t="s">
        <v>60</v>
      </c>
      <c r="H15" s="7"/>
      <c r="I15" s="7"/>
      <c r="J15" s="7"/>
      <c r="K15" s="3">
        <v>1</v>
      </c>
      <c r="L15" s="17">
        <f t="shared" ref="L15:Q15" si="0">K15*(1+L$12)</f>
        <v>1.02</v>
      </c>
      <c r="M15" s="17">
        <f t="shared" si="0"/>
        <v>1.0404</v>
      </c>
      <c r="N15" s="17">
        <f t="shared" si="0"/>
        <v>1.0612079999999999</v>
      </c>
      <c r="O15" s="17">
        <f t="shared" si="0"/>
        <v>1.10365632</v>
      </c>
      <c r="P15" s="17">
        <f t="shared" si="0"/>
        <v>1.1809122624000001</v>
      </c>
      <c r="Q15" s="17">
        <f t="shared" si="0"/>
        <v>1.2399578755200003</v>
      </c>
    </row>
    <row r="16" spans="2:21">
      <c r="B16" s="18" t="s">
        <v>49</v>
      </c>
      <c r="D16" s="3" t="s">
        <v>60</v>
      </c>
      <c r="H16" s="7"/>
      <c r="I16" s="7"/>
      <c r="J16" s="7"/>
      <c r="K16" s="7"/>
      <c r="L16" s="3">
        <v>1</v>
      </c>
      <c r="M16" s="17">
        <f>L16*(1+M$12)</f>
        <v>1.02</v>
      </c>
      <c r="N16" s="17">
        <f>M16*(1+N$12)</f>
        <v>1.0404</v>
      </c>
      <c r="O16" s="17">
        <f>N16*(1+O$12)</f>
        <v>1.0820160000000001</v>
      </c>
      <c r="P16" s="17">
        <f>O16*(1+P$12)</f>
        <v>1.1577571200000001</v>
      </c>
      <c r="Q16" s="17">
        <f>P16*(1+Q$12)</f>
        <v>1.2156449760000001</v>
      </c>
    </row>
    <row r="17" spans="2:19">
      <c r="B17" s="18" t="s">
        <v>50</v>
      </c>
      <c r="D17" s="3" t="s">
        <v>60</v>
      </c>
      <c r="H17" s="7"/>
      <c r="I17" s="7"/>
      <c r="J17" s="7"/>
      <c r="K17" s="7"/>
      <c r="L17" s="7"/>
      <c r="M17" s="3">
        <v>1</v>
      </c>
      <c r="N17" s="17">
        <f>M17*(1+N$12)</f>
        <v>1.02</v>
      </c>
      <c r="O17" s="17">
        <f>N17*(1+O$12)</f>
        <v>1.0608</v>
      </c>
      <c r="P17" s="17">
        <f>O17*(1+P$12)</f>
        <v>1.1350560000000001</v>
      </c>
      <c r="Q17" s="17">
        <f>P17*(1+Q$12)</f>
        <v>1.1918088000000002</v>
      </c>
    </row>
    <row r="18" spans="2:19">
      <c r="B18" s="18" t="s">
        <v>51</v>
      </c>
      <c r="D18" s="3" t="s">
        <v>60</v>
      </c>
      <c r="H18" s="7"/>
      <c r="I18" s="7"/>
      <c r="J18" s="7"/>
      <c r="K18" s="7"/>
      <c r="L18" s="7"/>
      <c r="M18" s="7"/>
      <c r="N18" s="3">
        <v>1</v>
      </c>
      <c r="O18" s="17">
        <f>N18*(1+O$12)</f>
        <v>1.04</v>
      </c>
      <c r="P18" s="17">
        <f>O18*(1+P$12)</f>
        <v>1.1128</v>
      </c>
      <c r="Q18" s="17">
        <f>P18*(1+Q$12)</f>
        <v>1.1684400000000001</v>
      </c>
    </row>
    <row r="19" spans="2:19">
      <c r="B19" s="18" t="s">
        <v>52</v>
      </c>
      <c r="D19" s="3" t="s">
        <v>60</v>
      </c>
      <c r="H19" s="7"/>
      <c r="I19" s="7"/>
      <c r="J19" s="7"/>
      <c r="K19" s="7"/>
      <c r="L19" s="7"/>
      <c r="M19" s="7"/>
      <c r="N19" s="7"/>
      <c r="O19" s="3">
        <v>1</v>
      </c>
      <c r="P19" s="17">
        <f>O19*(1+P$12)</f>
        <v>1.07</v>
      </c>
      <c r="Q19" s="17">
        <f>P19*(1+Q$12)</f>
        <v>1.1235000000000002</v>
      </c>
    </row>
    <row r="20" spans="2:19">
      <c r="B20" s="18" t="s">
        <v>53</v>
      </c>
      <c r="D20" s="3" t="s">
        <v>60</v>
      </c>
      <c r="H20" s="7"/>
      <c r="I20" s="7"/>
      <c r="J20" s="7"/>
      <c r="K20" s="7"/>
      <c r="L20" s="7"/>
      <c r="M20" s="7"/>
      <c r="N20" s="7"/>
      <c r="O20" s="7"/>
      <c r="P20" s="3">
        <v>1</v>
      </c>
      <c r="Q20" s="17">
        <f>P20*(1+Q$12)</f>
        <v>1.05</v>
      </c>
    </row>
    <row r="21" spans="2:19">
      <c r="B21" s="18" t="s">
        <v>54</v>
      </c>
      <c r="D21" s="3" t="s">
        <v>60</v>
      </c>
      <c r="H21" s="7"/>
      <c r="I21" s="7"/>
      <c r="J21" s="7"/>
      <c r="K21" s="7"/>
      <c r="L21" s="7"/>
      <c r="M21" s="7"/>
      <c r="N21" s="7"/>
      <c r="O21" s="7"/>
      <c r="P21" s="7"/>
      <c r="Q21" s="3">
        <v>1</v>
      </c>
    </row>
    <row r="23" spans="2:19" s="6" customFormat="1">
      <c r="B23" s="6" t="s">
        <v>61</v>
      </c>
    </row>
    <row r="25" spans="2:19">
      <c r="B25" s="3" t="s">
        <v>62</v>
      </c>
      <c r="D25" s="3" t="s">
        <v>46</v>
      </c>
      <c r="F25" s="46">
        <v>0.4</v>
      </c>
      <c r="S25" s="3" t="s">
        <v>63</v>
      </c>
    </row>
    <row r="26" spans="2:19">
      <c r="B26" s="3" t="s">
        <v>64</v>
      </c>
      <c r="D26" s="3" t="s">
        <v>46</v>
      </c>
      <c r="F26" s="19">
        <f>1-F25</f>
        <v>0.6</v>
      </c>
      <c r="S26" s="3" t="s">
        <v>63</v>
      </c>
    </row>
    <row r="28" spans="2:19" s="6" customFormat="1">
      <c r="B28" s="6" t="s">
        <v>65</v>
      </c>
    </row>
    <row r="30" spans="2:19">
      <c r="B30" s="3" t="s">
        <v>66</v>
      </c>
      <c r="D30" s="3" t="s">
        <v>46</v>
      </c>
      <c r="F30" s="46">
        <v>0.75</v>
      </c>
      <c r="S30" s="3" t="s">
        <v>63</v>
      </c>
    </row>
    <row r="31" spans="2:19">
      <c r="B31" s="3" t="s">
        <v>67</v>
      </c>
      <c r="D31" s="3" t="s">
        <v>46</v>
      </c>
      <c r="F31" s="46">
        <v>0.2</v>
      </c>
      <c r="S31" s="3" t="s">
        <v>63</v>
      </c>
    </row>
    <row r="33" spans="2:19" s="6" customFormat="1">
      <c r="B33" s="6" t="s">
        <v>68</v>
      </c>
    </row>
    <row r="35" spans="2:19">
      <c r="B35" s="3" t="s">
        <v>69</v>
      </c>
      <c r="F35" s="42">
        <v>1.25</v>
      </c>
      <c r="S35" s="3" t="s">
        <v>63</v>
      </c>
    </row>
    <row r="36" spans="2:19">
      <c r="B36" s="3" t="s">
        <v>70</v>
      </c>
      <c r="F36" s="42">
        <v>1.5</v>
      </c>
      <c r="S36" s="3" t="s">
        <v>63</v>
      </c>
    </row>
    <row r="37" spans="2:19">
      <c r="B37" s="3" t="s">
        <v>71</v>
      </c>
      <c r="F37" s="42">
        <v>1.75</v>
      </c>
      <c r="S37" s="3" t="s">
        <v>63</v>
      </c>
    </row>
    <row r="38" spans="2:19">
      <c r="B38" s="3" t="s">
        <v>72</v>
      </c>
      <c r="F38" s="42">
        <v>1.75</v>
      </c>
      <c r="S38" s="3" t="s">
        <v>63</v>
      </c>
    </row>
    <row r="40" spans="2:19" s="6" customFormat="1">
      <c r="B40" s="6" t="s">
        <v>73</v>
      </c>
    </row>
    <row r="42" spans="2:19">
      <c r="B42" s="2" t="s">
        <v>74</v>
      </c>
      <c r="F42" s="16"/>
    </row>
    <row r="43" spans="2:19">
      <c r="B43" s="3" t="s">
        <v>75</v>
      </c>
      <c r="F43" s="42">
        <v>1.482</v>
      </c>
      <c r="S43" s="3" t="s">
        <v>63</v>
      </c>
    </row>
    <row r="44" spans="2:19">
      <c r="B44" s="3" t="s">
        <v>76</v>
      </c>
      <c r="F44" s="42">
        <v>0.78400000000000003</v>
      </c>
      <c r="S44" s="3" t="s">
        <v>63</v>
      </c>
    </row>
    <row r="45" spans="2:19">
      <c r="B45" s="3" t="s">
        <v>77</v>
      </c>
      <c r="F45" s="42">
        <v>0.629</v>
      </c>
      <c r="S45" s="3" t="s">
        <v>63</v>
      </c>
    </row>
    <row r="46" spans="2:19">
      <c r="B46" s="3" t="s">
        <v>78</v>
      </c>
      <c r="F46" s="42">
        <v>1.105</v>
      </c>
      <c r="S46" s="3" t="s">
        <v>63</v>
      </c>
    </row>
    <row r="48" spans="2:19">
      <c r="B48" s="2" t="s">
        <v>79</v>
      </c>
    </row>
    <row r="49" spans="2:19">
      <c r="B49" s="3" t="s">
        <v>21</v>
      </c>
      <c r="F49" s="42">
        <v>1.7150000000000001</v>
      </c>
      <c r="S49" s="3" t="s">
        <v>63</v>
      </c>
    </row>
    <row r="50" spans="2:19">
      <c r="B50" s="3" t="s">
        <v>22</v>
      </c>
      <c r="F50" s="42">
        <v>1.5329999999999999</v>
      </c>
      <c r="S50" s="3" t="s">
        <v>63</v>
      </c>
    </row>
    <row r="51" spans="2:19">
      <c r="B51" s="3" t="s">
        <v>23</v>
      </c>
      <c r="F51" s="42">
        <v>1.1990000000000001</v>
      </c>
      <c r="S51" s="3" t="s">
        <v>63</v>
      </c>
    </row>
    <row r="52" spans="2:19">
      <c r="B52" s="3" t="s">
        <v>24</v>
      </c>
      <c r="F52" s="42">
        <v>0.89400000000000002</v>
      </c>
      <c r="S52" s="3" t="s">
        <v>63</v>
      </c>
    </row>
    <row r="53" spans="2:19">
      <c r="B53" s="3" t="s">
        <v>25</v>
      </c>
      <c r="F53" s="42">
        <v>0.79200000000000004</v>
      </c>
      <c r="S53" s="3" t="s">
        <v>63</v>
      </c>
    </row>
    <row r="54" spans="2:19">
      <c r="B54" s="3" t="s">
        <v>26</v>
      </c>
      <c r="F54" s="42">
        <v>0.66500000000000004</v>
      </c>
      <c r="S54" s="3" t="s">
        <v>63</v>
      </c>
    </row>
    <row r="55" spans="2:19">
      <c r="B55" s="3" t="s">
        <v>27</v>
      </c>
      <c r="F55" s="42">
        <v>0.628</v>
      </c>
      <c r="S55" s="3" t="s">
        <v>63</v>
      </c>
    </row>
    <row r="56" spans="2:19">
      <c r="B56" s="3" t="s">
        <v>28</v>
      </c>
      <c r="F56" s="42">
        <v>0.59699999999999998</v>
      </c>
      <c r="S56" s="3" t="s">
        <v>63</v>
      </c>
    </row>
    <row r="57" spans="2:19">
      <c r="B57" s="3" t="s">
        <v>29</v>
      </c>
      <c r="F57" s="42">
        <v>0.66300000000000003</v>
      </c>
      <c r="S57" s="3" t="s">
        <v>63</v>
      </c>
    </row>
    <row r="58" spans="2:19">
      <c r="B58" s="3" t="s">
        <v>30</v>
      </c>
      <c r="F58" s="42">
        <v>0.76100000000000001</v>
      </c>
      <c r="S58" s="3" t="s">
        <v>63</v>
      </c>
    </row>
    <row r="59" spans="2:19">
      <c r="B59" s="3" t="s">
        <v>31</v>
      </c>
      <c r="F59" s="103">
        <v>1.1299999999999999</v>
      </c>
      <c r="S59" s="3" t="s">
        <v>63</v>
      </c>
    </row>
    <row r="60" spans="2:19">
      <c r="B60" s="3" t="s">
        <v>32</v>
      </c>
      <c r="F60" s="42">
        <v>1.4239999999999999</v>
      </c>
      <c r="S60" s="3" t="s">
        <v>63</v>
      </c>
    </row>
    <row r="62" spans="2:19">
      <c r="B62" s="2" t="s">
        <v>80</v>
      </c>
    </row>
    <row r="63" spans="2:19">
      <c r="B63" s="3" t="s">
        <v>21</v>
      </c>
      <c r="F63" s="42">
        <v>1.7729999999999999</v>
      </c>
      <c r="S63" s="3" t="s">
        <v>63</v>
      </c>
    </row>
    <row r="64" spans="2:19">
      <c r="B64" s="3" t="s">
        <v>22</v>
      </c>
      <c r="F64" s="42">
        <v>1.585</v>
      </c>
      <c r="S64" s="3" t="s">
        <v>63</v>
      </c>
    </row>
    <row r="65" spans="2:19">
      <c r="B65" s="3" t="s">
        <v>23</v>
      </c>
      <c r="F65" s="42">
        <v>1.2390000000000001</v>
      </c>
      <c r="S65" s="3" t="s">
        <v>63</v>
      </c>
    </row>
    <row r="66" spans="2:19">
      <c r="B66" s="3" t="s">
        <v>24</v>
      </c>
      <c r="F66" s="42">
        <v>0.92400000000000004</v>
      </c>
      <c r="S66" s="3" t="s">
        <v>63</v>
      </c>
    </row>
    <row r="67" spans="2:19">
      <c r="B67" s="3" t="s">
        <v>25</v>
      </c>
      <c r="F67" s="42">
        <v>0.81899999999999995</v>
      </c>
      <c r="S67" s="3" t="s">
        <v>63</v>
      </c>
    </row>
    <row r="68" spans="2:19">
      <c r="B68" s="3" t="s">
        <v>26</v>
      </c>
      <c r="F68" s="42">
        <v>0.68799999999999994</v>
      </c>
      <c r="S68" s="3" t="s">
        <v>63</v>
      </c>
    </row>
    <row r="69" spans="2:19">
      <c r="B69" s="3" t="s">
        <v>27</v>
      </c>
      <c r="F69" s="42">
        <v>0.64900000000000002</v>
      </c>
      <c r="S69" s="3" t="s">
        <v>63</v>
      </c>
    </row>
    <row r="70" spans="2:19">
      <c r="B70" s="3" t="s">
        <v>28</v>
      </c>
      <c r="F70" s="42">
        <v>0.61799999999999999</v>
      </c>
      <c r="S70" s="3" t="s">
        <v>63</v>
      </c>
    </row>
    <row r="71" spans="2:19">
      <c r="B71" s="3" t="s">
        <v>29</v>
      </c>
      <c r="F71" s="42">
        <v>0.68600000000000005</v>
      </c>
      <c r="S71" s="3" t="s">
        <v>63</v>
      </c>
    </row>
    <row r="72" spans="2:19">
      <c r="B72" s="3" t="s">
        <v>30</v>
      </c>
      <c r="F72" s="42">
        <v>0.78700000000000003</v>
      </c>
      <c r="S72" s="3" t="s">
        <v>63</v>
      </c>
    </row>
    <row r="73" spans="2:19">
      <c r="B73" s="3" t="s">
        <v>31</v>
      </c>
      <c r="F73" s="42">
        <v>1.1679999999999999</v>
      </c>
      <c r="S73" s="3" t="s">
        <v>63</v>
      </c>
    </row>
    <row r="74" spans="2:19">
      <c r="B74" s="3" t="s">
        <v>32</v>
      </c>
      <c r="F74" s="42">
        <v>1.472</v>
      </c>
      <c r="S74" s="3" t="s">
        <v>63</v>
      </c>
    </row>
    <row r="76" spans="2:19" s="6" customFormat="1">
      <c r="B76" s="6" t="s">
        <v>81</v>
      </c>
    </row>
    <row r="78" spans="2:19">
      <c r="B78" s="2" t="s">
        <v>82</v>
      </c>
      <c r="F78" s="16"/>
    </row>
    <row r="79" spans="2:19">
      <c r="B79" s="3" t="s">
        <v>21</v>
      </c>
      <c r="F79" s="42">
        <v>31</v>
      </c>
    </row>
    <row r="80" spans="2:19">
      <c r="B80" s="3" t="s">
        <v>22</v>
      </c>
      <c r="F80" s="42">
        <v>28</v>
      </c>
    </row>
    <row r="81" spans="2:6">
      <c r="B81" s="3" t="s">
        <v>23</v>
      </c>
      <c r="F81" s="42">
        <v>31</v>
      </c>
    </row>
    <row r="82" spans="2:6">
      <c r="B82" s="3" t="s">
        <v>24</v>
      </c>
      <c r="F82" s="42">
        <v>30</v>
      </c>
    </row>
    <row r="83" spans="2:6">
      <c r="B83" s="3" t="s">
        <v>25</v>
      </c>
      <c r="F83" s="42">
        <v>31</v>
      </c>
    </row>
    <row r="84" spans="2:6">
      <c r="B84" s="3" t="s">
        <v>26</v>
      </c>
      <c r="F84" s="42">
        <v>30</v>
      </c>
    </row>
    <row r="85" spans="2:6">
      <c r="B85" s="3" t="s">
        <v>27</v>
      </c>
      <c r="F85" s="42">
        <v>31</v>
      </c>
    </row>
    <row r="86" spans="2:6">
      <c r="B86" s="3" t="s">
        <v>28</v>
      </c>
      <c r="F86" s="42">
        <v>31</v>
      </c>
    </row>
    <row r="87" spans="2:6">
      <c r="B87" s="3" t="s">
        <v>29</v>
      </c>
      <c r="F87" s="42">
        <v>30</v>
      </c>
    </row>
    <row r="88" spans="2:6">
      <c r="B88" s="3" t="s">
        <v>30</v>
      </c>
      <c r="F88" s="42">
        <v>31</v>
      </c>
    </row>
    <row r="89" spans="2:6">
      <c r="B89" s="3" t="s">
        <v>31</v>
      </c>
      <c r="F89" s="42">
        <v>30</v>
      </c>
    </row>
    <row r="90" spans="2:6">
      <c r="B90" s="3" t="s">
        <v>32</v>
      </c>
      <c r="F90" s="42">
        <v>31</v>
      </c>
    </row>
    <row r="92" spans="2:6">
      <c r="B92" s="2" t="s">
        <v>83</v>
      </c>
    </row>
    <row r="93" spans="2:6">
      <c r="B93" s="3" t="s">
        <v>75</v>
      </c>
      <c r="F93" s="20">
        <f>SUM(F79:F81)</f>
        <v>90</v>
      </c>
    </row>
    <row r="94" spans="2:6">
      <c r="B94" s="3" t="s">
        <v>76</v>
      </c>
      <c r="F94" s="20">
        <f>SUM(F82:F84)</f>
        <v>91</v>
      </c>
    </row>
    <row r="95" spans="2:6">
      <c r="B95" s="3" t="s">
        <v>77</v>
      </c>
      <c r="F95" s="20">
        <f>SUM(F85:F87)</f>
        <v>92</v>
      </c>
    </row>
    <row r="96" spans="2:6">
      <c r="B96" s="3" t="s">
        <v>78</v>
      </c>
      <c r="F96" s="20">
        <f>SUM(F88:F90)</f>
        <v>92</v>
      </c>
    </row>
    <row r="98" spans="2:19">
      <c r="B98" s="2" t="s">
        <v>84</v>
      </c>
    </row>
    <row r="99" spans="2:19">
      <c r="B99" s="3" t="s">
        <v>85</v>
      </c>
      <c r="F99" s="42">
        <v>24</v>
      </c>
    </row>
    <row r="100" spans="2:19">
      <c r="B100" s="3" t="s">
        <v>86</v>
      </c>
      <c r="F100" s="20">
        <f>SUM(F79:F90)</f>
        <v>365</v>
      </c>
    </row>
    <row r="101" spans="2:19">
      <c r="B101" s="3" t="s">
        <v>87</v>
      </c>
      <c r="F101" s="20">
        <f>F99*F100</f>
        <v>8760</v>
      </c>
    </row>
    <row r="103" spans="2:19" s="6" customFormat="1">
      <c r="B103" s="6" t="s">
        <v>88</v>
      </c>
    </row>
    <row r="105" spans="2:19">
      <c r="B105" s="2" t="s">
        <v>89</v>
      </c>
    </row>
    <row r="106" spans="2:19">
      <c r="B106" s="3" t="s">
        <v>90</v>
      </c>
      <c r="F106" s="47">
        <v>8.9999999999999998E-4</v>
      </c>
      <c r="H106" s="5"/>
      <c r="S106" s="3" t="s">
        <v>63</v>
      </c>
    </row>
    <row r="107" spans="2:19">
      <c r="B107" s="3" t="s">
        <v>91</v>
      </c>
      <c r="F107" s="47">
        <v>0.25779999999999997</v>
      </c>
      <c r="H107" s="5"/>
      <c r="S107" s="3" t="s">
        <v>63</v>
      </c>
    </row>
    <row r="108" spans="2:19">
      <c r="B108" s="3" t="s">
        <v>92</v>
      </c>
      <c r="F108" s="47">
        <v>0.97950000000000004</v>
      </c>
      <c r="S108" s="3" t="s">
        <v>63</v>
      </c>
    </row>
    <row r="109" spans="2:19">
      <c r="B109" s="3" t="s">
        <v>93</v>
      </c>
      <c r="F109" s="47">
        <v>1E-4</v>
      </c>
      <c r="S109" s="3" t="s">
        <v>63</v>
      </c>
    </row>
    <row r="110" spans="2:19">
      <c r="B110" s="3" t="s">
        <v>94</v>
      </c>
      <c r="F110" s="47">
        <v>1E-4</v>
      </c>
      <c r="S110" s="3" t="s">
        <v>63</v>
      </c>
    </row>
    <row r="111" spans="2:19">
      <c r="B111" s="3" t="s">
        <v>95</v>
      </c>
      <c r="F111" s="47">
        <v>1E-4</v>
      </c>
      <c r="S111" s="3" t="s">
        <v>63</v>
      </c>
    </row>
    <row r="112" spans="2:19">
      <c r="B112" s="3" t="s">
        <v>96</v>
      </c>
      <c r="F112" s="47">
        <v>1E-4</v>
      </c>
      <c r="S112" s="3" t="s">
        <v>63</v>
      </c>
    </row>
    <row r="113" spans="2:19">
      <c r="B113" s="3" t="s">
        <v>97</v>
      </c>
      <c r="F113" s="47">
        <v>1E-4</v>
      </c>
      <c r="S113" s="3" t="s">
        <v>63</v>
      </c>
    </row>
    <row r="114" spans="2:19">
      <c r="B114" s="3" t="s">
        <v>98</v>
      </c>
      <c r="F114" s="47">
        <v>0.51200000000000001</v>
      </c>
      <c r="S114" s="3" t="s">
        <v>63</v>
      </c>
    </row>
    <row r="115" spans="2:19">
      <c r="B115" s="3" t="s">
        <v>99</v>
      </c>
      <c r="F115" s="47">
        <v>0.64590000000000003</v>
      </c>
      <c r="S115" s="3" t="s">
        <v>63</v>
      </c>
    </row>
    <row r="116" spans="2:19">
      <c r="B116" s="3" t="s">
        <v>100</v>
      </c>
      <c r="F116" s="47">
        <v>0.625</v>
      </c>
      <c r="S116" s="3" t="s">
        <v>63</v>
      </c>
    </row>
    <row r="117" spans="2:19">
      <c r="B117" s="3" t="s">
        <v>101</v>
      </c>
      <c r="F117" s="47">
        <v>1E-4</v>
      </c>
      <c r="S117" s="3" t="s">
        <v>63</v>
      </c>
    </row>
    <row r="118" spans="2:19">
      <c r="B118" s="3" t="s">
        <v>102</v>
      </c>
      <c r="F118" s="47">
        <v>0.31780000000000003</v>
      </c>
      <c r="S118" s="3" t="s">
        <v>63</v>
      </c>
    </row>
    <row r="119" spans="2:19">
      <c r="B119" s="3" t="s">
        <v>103</v>
      </c>
      <c r="F119" s="47">
        <v>5.1700000000000003E-2</v>
      </c>
      <c r="S119" s="3" t="s">
        <v>63</v>
      </c>
    </row>
    <row r="120" spans="2:19">
      <c r="B120" s="3" t="s">
        <v>4</v>
      </c>
      <c r="F120" s="47">
        <v>1E-4</v>
      </c>
      <c r="S120" s="3" t="s">
        <v>63</v>
      </c>
    </row>
    <row r="122" spans="2:19">
      <c r="B122" s="2" t="s">
        <v>104</v>
      </c>
    </row>
    <row r="123" spans="2:19">
      <c r="B123" s="3" t="s">
        <v>90</v>
      </c>
      <c r="F123" s="47">
        <v>1E-4</v>
      </c>
      <c r="S123" s="3" t="s">
        <v>63</v>
      </c>
    </row>
    <row r="124" spans="2:19">
      <c r="B124" s="3" t="s">
        <v>91</v>
      </c>
      <c r="F124" s="47">
        <v>1E-4</v>
      </c>
      <c r="S124" s="3" t="s">
        <v>63</v>
      </c>
    </row>
    <row r="125" spans="2:19">
      <c r="B125" s="3" t="s">
        <v>92</v>
      </c>
      <c r="F125" s="47">
        <v>1E-4</v>
      </c>
      <c r="S125" s="3" t="s">
        <v>63</v>
      </c>
    </row>
    <row r="126" spans="2:19">
      <c r="B126" s="3" t="s">
        <v>93</v>
      </c>
      <c r="F126" s="47">
        <v>0.71899999999999997</v>
      </c>
      <c r="S126" s="3" t="s">
        <v>63</v>
      </c>
    </row>
    <row r="127" spans="2:19">
      <c r="B127" s="3" t="s">
        <v>94</v>
      </c>
      <c r="F127" s="47">
        <v>0.49359999999999998</v>
      </c>
      <c r="S127" s="3" t="s">
        <v>63</v>
      </c>
    </row>
    <row r="128" spans="2:19">
      <c r="B128" s="3" t="s">
        <v>95</v>
      </c>
      <c r="F128" s="47">
        <v>0.33329999999999999</v>
      </c>
      <c r="S128" s="3" t="s">
        <v>63</v>
      </c>
    </row>
    <row r="129" spans="2:19">
      <c r="B129" s="3" t="s">
        <v>96</v>
      </c>
      <c r="F129" s="47">
        <v>0.95730000000000004</v>
      </c>
      <c r="S129" s="3" t="s">
        <v>63</v>
      </c>
    </row>
    <row r="130" spans="2:19">
      <c r="B130" s="3" t="s">
        <v>97</v>
      </c>
      <c r="F130" s="47">
        <v>0.1525</v>
      </c>
      <c r="S130" s="3" t="s">
        <v>63</v>
      </c>
    </row>
    <row r="131" spans="2:19">
      <c r="B131" s="3" t="s">
        <v>98</v>
      </c>
      <c r="F131" s="47">
        <v>0.15459999999999999</v>
      </c>
      <c r="S131" s="3" t="s">
        <v>63</v>
      </c>
    </row>
    <row r="132" spans="2:19">
      <c r="B132" s="3" t="s">
        <v>99</v>
      </c>
      <c r="F132" s="47">
        <v>1E-4</v>
      </c>
      <c r="S132" s="3" t="s">
        <v>63</v>
      </c>
    </row>
    <row r="133" spans="2:19">
      <c r="B133" s="3" t="s">
        <v>100</v>
      </c>
      <c r="F133" s="47">
        <v>0.374</v>
      </c>
      <c r="S133" s="3" t="s">
        <v>63</v>
      </c>
    </row>
    <row r="134" spans="2:19">
      <c r="B134" s="3" t="s">
        <v>101</v>
      </c>
      <c r="F134" s="47">
        <v>1.3299999999999999E-2</v>
      </c>
      <c r="S134" s="3" t="s">
        <v>63</v>
      </c>
    </row>
    <row r="135" spans="2:19">
      <c r="B135" s="3" t="s">
        <v>102</v>
      </c>
      <c r="F135" s="47">
        <v>1E-4</v>
      </c>
      <c r="S135" s="3" t="s">
        <v>63</v>
      </c>
    </row>
    <row r="136" spans="2:19">
      <c r="B136" s="3" t="s">
        <v>103</v>
      </c>
      <c r="F136" s="47">
        <v>0.36770000000000003</v>
      </c>
      <c r="S136" s="3" t="s">
        <v>63</v>
      </c>
    </row>
    <row r="137" spans="2:19">
      <c r="B137" s="3" t="s">
        <v>4</v>
      </c>
      <c r="F137" s="47">
        <v>1E-4</v>
      </c>
      <c r="S137" s="3" t="s">
        <v>63</v>
      </c>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93:F9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P29"/>
  <sheetViews>
    <sheetView showGridLines="0" zoomScale="90" zoomScaleNormal="90" workbookViewId="0">
      <pane xSplit="4" ySplit="7" topLeftCell="E8" activePane="bottomRight" state="frozen"/>
      <selection pane="topRight"/>
      <selection pane="bottomLeft"/>
      <selection pane="bottomRight" activeCell="E8" sqref="E8"/>
    </sheetView>
  </sheetViews>
  <sheetFormatPr defaultColWidth="9.140625" defaultRowHeight="12.75"/>
  <cols>
    <col min="1" max="1" width="2.5703125" style="3" customWidth="1"/>
    <col min="2" max="2" width="48.7109375" style="3" customWidth="1"/>
    <col min="3" max="3" width="2.5703125" style="3" customWidth="1"/>
    <col min="4" max="4" width="13.5703125" style="3" customWidth="1"/>
    <col min="5" max="5" width="2.5703125" style="3" customWidth="1"/>
    <col min="6" max="6" width="9.5703125" style="3" customWidth="1"/>
    <col min="7" max="7" width="2.5703125" style="3" customWidth="1"/>
    <col min="8" max="12" width="13" style="3" customWidth="1"/>
    <col min="13" max="13" width="4.140625" style="3" customWidth="1"/>
    <col min="14" max="14" width="30.140625" style="3" customWidth="1"/>
    <col min="15" max="15" width="2.5703125" style="3" customWidth="1"/>
    <col min="16" max="26" width="13.5703125" style="3" customWidth="1"/>
    <col min="27" max="16384" width="9.140625" style="3"/>
  </cols>
  <sheetData>
    <row r="2" spans="2:16" s="8" customFormat="1" ht="18">
      <c r="B2" s="8" t="s">
        <v>105</v>
      </c>
    </row>
    <row r="4" spans="2:16">
      <c r="B4" s="11" t="s">
        <v>40</v>
      </c>
      <c r="C4" s="2"/>
    </row>
    <row r="5" spans="2:16" ht="27.75" customHeight="1">
      <c r="B5" s="116" t="s">
        <v>106</v>
      </c>
      <c r="C5" s="116"/>
      <c r="D5" s="116"/>
      <c r="F5" s="9"/>
    </row>
    <row r="6" spans="2:16" ht="12" customHeight="1"/>
    <row r="7" spans="2:16" s="6" customFormat="1" ht="12" customHeight="1">
      <c r="B7" s="6" t="s">
        <v>5</v>
      </c>
      <c r="D7" s="6" t="s">
        <v>42</v>
      </c>
      <c r="F7" s="6" t="s">
        <v>43</v>
      </c>
      <c r="H7" s="29">
        <v>2022</v>
      </c>
      <c r="I7" s="29">
        <v>2023</v>
      </c>
      <c r="J7" s="29">
        <v>2024</v>
      </c>
      <c r="K7" s="29">
        <v>2025</v>
      </c>
      <c r="L7" s="29">
        <v>2026</v>
      </c>
      <c r="N7" s="6" t="s">
        <v>44</v>
      </c>
      <c r="P7" s="6" t="s">
        <v>45</v>
      </c>
    </row>
    <row r="9" spans="2:16" s="6" customFormat="1">
      <c r="B9" s="6" t="s">
        <v>107</v>
      </c>
    </row>
    <row r="11" spans="2:16">
      <c r="B11" s="18" t="s">
        <v>108</v>
      </c>
      <c r="D11" s="3" t="s">
        <v>47</v>
      </c>
      <c r="H11" s="7"/>
      <c r="I11" s="7"/>
      <c r="J11" s="104">
        <v>-6019283.6071680002</v>
      </c>
      <c r="K11" s="7"/>
      <c r="L11" s="7"/>
      <c r="N11" s="3" t="s">
        <v>109</v>
      </c>
    </row>
    <row r="12" spans="2:16">
      <c r="B12" s="3" t="s">
        <v>110</v>
      </c>
      <c r="D12" s="3" t="s">
        <v>47</v>
      </c>
      <c r="H12" s="7"/>
      <c r="I12" s="7"/>
      <c r="J12" s="110">
        <v>-5528386.5499999998</v>
      </c>
      <c r="K12" s="7"/>
      <c r="L12" s="7"/>
      <c r="N12" s="3" t="s">
        <v>111</v>
      </c>
    </row>
    <row r="14" spans="2:16" s="6" customFormat="1">
      <c r="B14" s="6" t="s">
        <v>112</v>
      </c>
    </row>
    <row r="16" spans="2:16">
      <c r="B16" s="3" t="s">
        <v>113</v>
      </c>
      <c r="D16" s="3" t="s">
        <v>47</v>
      </c>
      <c r="H16" s="7"/>
      <c r="I16" s="7"/>
      <c r="J16" s="110">
        <v>0</v>
      </c>
      <c r="K16" s="7"/>
      <c r="L16" s="7"/>
      <c r="N16" s="3" t="s">
        <v>111</v>
      </c>
    </row>
    <row r="18" spans="2:16" s="6" customFormat="1">
      <c r="B18" s="6" t="s">
        <v>114</v>
      </c>
    </row>
    <row r="20" spans="2:16">
      <c r="B20" s="3" t="s">
        <v>113</v>
      </c>
      <c r="D20" s="3" t="s">
        <v>47</v>
      </c>
      <c r="H20" s="7"/>
      <c r="I20" s="7"/>
      <c r="J20" s="110">
        <v>12343267.24</v>
      </c>
      <c r="K20" s="7"/>
      <c r="L20" s="7"/>
      <c r="N20" s="3" t="s">
        <v>111</v>
      </c>
      <c r="P20" s="9"/>
    </row>
    <row r="21" spans="2:16">
      <c r="M21" s="49"/>
    </row>
    <row r="22" spans="2:16" s="6" customFormat="1">
      <c r="B22" s="6" t="s">
        <v>115</v>
      </c>
    </row>
    <row r="24" spans="2:16">
      <c r="B24" s="3" t="s">
        <v>116</v>
      </c>
      <c r="D24" s="3" t="s">
        <v>47</v>
      </c>
      <c r="H24" s="7"/>
      <c r="I24" s="7"/>
      <c r="J24" s="110">
        <f>-1399777.41</f>
        <v>-1399777.41</v>
      </c>
      <c r="K24" s="7"/>
      <c r="L24" s="7"/>
      <c r="N24" s="3" t="s">
        <v>111</v>
      </c>
      <c r="P24" s="9"/>
    </row>
    <row r="25" spans="2:16">
      <c r="B25" s="3" t="s">
        <v>117</v>
      </c>
      <c r="D25" s="3" t="s">
        <v>47</v>
      </c>
      <c r="H25" s="7"/>
      <c r="I25" s="7"/>
      <c r="J25" s="110">
        <f>-3657.29</f>
        <v>-3657.29</v>
      </c>
      <c r="K25" s="7"/>
      <c r="L25" s="7"/>
      <c r="N25" s="3" t="s">
        <v>111</v>
      </c>
      <c r="P25" s="9"/>
    </row>
    <row r="26" spans="2:16">
      <c r="N26" s="41"/>
    </row>
    <row r="27" spans="2:16" s="6" customFormat="1">
      <c r="B27" s="6" t="s">
        <v>118</v>
      </c>
    </row>
    <row r="29" spans="2:16">
      <c r="B29" s="3" t="s">
        <v>113</v>
      </c>
      <c r="D29" s="3" t="s">
        <v>47</v>
      </c>
      <c r="H29" s="7"/>
      <c r="I29" s="7"/>
      <c r="J29" s="110">
        <v>0</v>
      </c>
      <c r="K29" s="7"/>
      <c r="L29" s="7"/>
      <c r="N29" s="3" t="s">
        <v>111</v>
      </c>
      <c r="P29" s="9"/>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R30"/>
  <sheetViews>
    <sheetView showGridLines="0" zoomScale="85" zoomScaleNormal="85" workbookViewId="0">
      <pane xSplit="2" ySplit="5" topLeftCell="C6" activePane="bottomRight" state="frozen"/>
      <selection pane="topRight"/>
      <selection pane="bottomLeft"/>
      <selection pane="bottomRight"/>
    </sheetView>
  </sheetViews>
  <sheetFormatPr defaultColWidth="9.140625" defaultRowHeight="12.75"/>
  <cols>
    <col min="1" max="1" width="2.5703125" style="3" customWidth="1"/>
    <col min="2" max="2" width="62" style="3" customWidth="1"/>
    <col min="3" max="3" width="2.5703125" style="3" customWidth="1"/>
    <col min="4" max="4" width="13.5703125" style="3" customWidth="1"/>
    <col min="5" max="5" width="2.5703125" style="3" customWidth="1"/>
    <col min="6" max="6" width="13.5703125" style="3" customWidth="1"/>
    <col min="7" max="7" width="2.5703125" style="3" customWidth="1"/>
    <col min="8" max="13" width="8.85546875" style="3" customWidth="1"/>
    <col min="14" max="14" width="13.85546875" style="3" customWidth="1"/>
    <col min="15" max="15" width="2.5703125" style="3" customWidth="1"/>
    <col min="16" max="16" width="20.5703125" style="3" customWidth="1"/>
    <col min="17" max="17" width="2.5703125" style="3" customWidth="1"/>
    <col min="18" max="18" width="20.5703125" style="3" customWidth="1"/>
    <col min="19" max="31" width="13.5703125" style="3" customWidth="1"/>
    <col min="32" max="16384" width="9.140625" style="3"/>
  </cols>
  <sheetData>
    <row r="2" spans="2:18" s="8" customFormat="1" ht="18">
      <c r="B2" s="8" t="s">
        <v>119</v>
      </c>
    </row>
    <row r="4" spans="2:18">
      <c r="B4" s="11" t="s">
        <v>40</v>
      </c>
      <c r="C4" s="2"/>
    </row>
    <row r="5" spans="2:18" ht="27.75" customHeight="1">
      <c r="B5" s="116" t="s">
        <v>120</v>
      </c>
      <c r="C5" s="119"/>
      <c r="D5" s="119"/>
      <c r="F5" s="9"/>
    </row>
    <row r="7" spans="2:18" s="6" customFormat="1">
      <c r="B7" s="6" t="s">
        <v>5</v>
      </c>
      <c r="D7" s="6" t="s">
        <v>42</v>
      </c>
      <c r="F7" s="6" t="s">
        <v>43</v>
      </c>
      <c r="H7" s="30">
        <v>2020</v>
      </c>
      <c r="I7" s="29">
        <v>2021</v>
      </c>
      <c r="J7" s="29">
        <v>2022</v>
      </c>
      <c r="K7" s="29">
        <v>2023</v>
      </c>
      <c r="L7" s="29">
        <v>2024</v>
      </c>
      <c r="M7" s="29">
        <v>2025</v>
      </c>
      <c r="N7" s="29">
        <v>2026</v>
      </c>
      <c r="P7" s="6" t="s">
        <v>44</v>
      </c>
      <c r="R7" s="6" t="s">
        <v>45</v>
      </c>
    </row>
    <row r="9" spans="2:18" s="6" customFormat="1">
      <c r="B9" s="6" t="s">
        <v>121</v>
      </c>
    </row>
    <row r="11" spans="2:18">
      <c r="B11" s="11" t="s">
        <v>121</v>
      </c>
    </row>
    <row r="12" spans="2:18">
      <c r="B12" s="3" t="s">
        <v>122</v>
      </c>
      <c r="D12" s="3" t="s">
        <v>123</v>
      </c>
      <c r="H12" s="7"/>
      <c r="I12" s="7"/>
      <c r="J12" s="7"/>
      <c r="K12" s="7"/>
      <c r="L12" s="7"/>
      <c r="M12" s="7"/>
      <c r="N12" s="95">
        <v>120046510</v>
      </c>
      <c r="P12" s="3" t="s">
        <v>124</v>
      </c>
    </row>
    <row r="13" spans="2:18">
      <c r="B13" s="3" t="s">
        <v>125</v>
      </c>
      <c r="D13" s="3" t="s">
        <v>123</v>
      </c>
      <c r="H13" s="7"/>
      <c r="I13" s="7"/>
      <c r="J13" s="7"/>
      <c r="K13" s="7"/>
      <c r="L13" s="7"/>
      <c r="M13" s="7"/>
      <c r="N13" s="95">
        <v>209953490</v>
      </c>
      <c r="P13" s="3" t="s">
        <v>124</v>
      </c>
    </row>
    <row r="14" spans="2:18">
      <c r="J14" s="9"/>
      <c r="K14" s="9"/>
      <c r="L14" s="9"/>
      <c r="M14" s="9"/>
      <c r="N14" s="51"/>
    </row>
    <row r="15" spans="2:18">
      <c r="B15" s="3" t="s">
        <v>126</v>
      </c>
      <c r="D15" s="3" t="s">
        <v>123</v>
      </c>
      <c r="H15" s="7"/>
      <c r="I15" s="7"/>
      <c r="J15" s="7"/>
      <c r="K15" s="7"/>
      <c r="L15" s="7"/>
      <c r="M15" s="7"/>
      <c r="N15" s="95">
        <v>39223965</v>
      </c>
      <c r="P15" s="3" t="s">
        <v>124</v>
      </c>
    </row>
    <row r="16" spans="2:18">
      <c r="B16" s="3" t="s">
        <v>127</v>
      </c>
      <c r="D16" s="3" t="s">
        <v>123</v>
      </c>
      <c r="H16" s="7"/>
      <c r="I16" s="7"/>
      <c r="J16" s="7"/>
      <c r="K16" s="7"/>
      <c r="L16" s="7"/>
      <c r="M16" s="7"/>
      <c r="N16" s="95">
        <v>25534868</v>
      </c>
      <c r="P16" s="3" t="s">
        <v>124</v>
      </c>
    </row>
    <row r="17" spans="2:16">
      <c r="J17" s="9"/>
      <c r="N17" s="51"/>
    </row>
    <row r="18" spans="2:16">
      <c r="B18" s="3" t="s">
        <v>128</v>
      </c>
      <c r="D18" s="3" t="s">
        <v>123</v>
      </c>
      <c r="H18" s="7"/>
      <c r="I18" s="7"/>
      <c r="J18" s="7"/>
      <c r="K18" s="7"/>
      <c r="L18" s="7"/>
      <c r="M18" s="7"/>
      <c r="N18" s="95">
        <v>32891425</v>
      </c>
      <c r="P18" s="3" t="s">
        <v>124</v>
      </c>
    </row>
    <row r="24" spans="2:16">
      <c r="M24" s="51"/>
    </row>
    <row r="25" spans="2:16">
      <c r="M25" s="51"/>
    </row>
    <row r="26" spans="2:16">
      <c r="M26" s="51"/>
    </row>
    <row r="27" spans="2:16">
      <c r="M27" s="51"/>
    </row>
    <row r="28" spans="2:16">
      <c r="M28" s="51"/>
    </row>
    <row r="29" spans="2:16">
      <c r="M29" s="51"/>
    </row>
    <row r="30" spans="2:16">
      <c r="M30" s="51"/>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40625" defaultRowHeight="12.75"/>
  <cols>
    <col min="1" max="16384" width="9.1406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B2:N42"/>
  <sheetViews>
    <sheetView showGridLines="0" zoomScale="85" zoomScaleNormal="85" workbookViewId="0">
      <pane xSplit="3" ySplit="8" topLeftCell="D9" activePane="bottomRight" state="frozen"/>
      <selection pane="topRight" activeCell="D1" sqref="D1"/>
      <selection pane="bottomLeft" activeCell="A12" sqref="A12"/>
      <selection pane="bottomRight" activeCell="D9" sqref="D9"/>
    </sheetView>
  </sheetViews>
  <sheetFormatPr defaultColWidth="9.140625" defaultRowHeight="12.75"/>
  <cols>
    <col min="1" max="1" width="2.5703125" style="3" customWidth="1"/>
    <col min="2" max="2" width="47.42578125" style="3" customWidth="1"/>
    <col min="3" max="3" width="4.5703125" style="3" customWidth="1"/>
    <col min="4" max="4" width="17.85546875" style="3" customWidth="1"/>
    <col min="5" max="5" width="2.5703125" style="3" customWidth="1"/>
    <col min="6" max="6" width="13.5703125" style="3" customWidth="1"/>
    <col min="7" max="7" width="2.5703125" style="3" customWidth="1"/>
    <col min="8" max="9" width="10.85546875" style="3" customWidth="1"/>
    <col min="10" max="10" width="14.85546875" style="3" bestFit="1" customWidth="1"/>
    <col min="11" max="11" width="11.5703125" style="3" customWidth="1"/>
    <col min="12" max="12" width="14.85546875" style="3" bestFit="1" customWidth="1"/>
    <col min="13" max="13" width="2.5703125" style="3" customWidth="1"/>
    <col min="14" max="25" width="13.5703125" style="3" customWidth="1"/>
    <col min="26" max="16384" width="9.140625" style="3"/>
  </cols>
  <sheetData>
    <row r="2" spans="2:14" s="8" customFormat="1" ht="18">
      <c r="B2" s="8" t="s">
        <v>129</v>
      </c>
    </row>
    <row r="4" spans="2:14">
      <c r="B4" s="11" t="s">
        <v>130</v>
      </c>
      <c r="C4" s="2"/>
    </row>
    <row r="5" spans="2:14">
      <c r="B5" s="116" t="s">
        <v>131</v>
      </c>
      <c r="C5" s="119"/>
      <c r="D5" s="119"/>
      <c r="F5" s="9"/>
    </row>
    <row r="6" spans="2:14" ht="14.25" customHeight="1">
      <c r="F6" s="53"/>
    </row>
    <row r="7" spans="2:14" s="6" customFormat="1">
      <c r="B7" s="6" t="s">
        <v>5</v>
      </c>
      <c r="D7" s="6" t="s">
        <v>42</v>
      </c>
      <c r="F7" s="6" t="s">
        <v>43</v>
      </c>
      <c r="H7" s="29">
        <v>2022</v>
      </c>
      <c r="I7" s="29">
        <v>2023</v>
      </c>
      <c r="J7" s="29">
        <v>2024</v>
      </c>
      <c r="K7" s="29">
        <v>2025</v>
      </c>
      <c r="L7" s="29">
        <v>2026</v>
      </c>
      <c r="N7" s="6" t="s">
        <v>45</v>
      </c>
    </row>
    <row r="9" spans="2:14" s="6" customFormat="1">
      <c r="B9" s="6" t="s">
        <v>132</v>
      </c>
    </row>
    <row r="11" spans="2:14">
      <c r="B11" s="11" t="s">
        <v>55</v>
      </c>
    </row>
    <row r="12" spans="2:14">
      <c r="B12" s="18" t="s">
        <v>52</v>
      </c>
      <c r="D12" s="3" t="s">
        <v>133</v>
      </c>
      <c r="H12" s="7"/>
      <c r="I12" s="7"/>
      <c r="J12" s="21">
        <f>'2. Parameters'!O19</f>
        <v>1</v>
      </c>
      <c r="K12" s="21">
        <f>'2. Parameters'!P19</f>
        <v>1.07</v>
      </c>
      <c r="L12" s="21">
        <f>'2. Parameters'!Q19</f>
        <v>1.1235000000000002</v>
      </c>
    </row>
    <row r="14" spans="2:14" s="6" customFormat="1">
      <c r="B14" s="6" t="s">
        <v>107</v>
      </c>
    </row>
    <row r="16" spans="2:14">
      <c r="B16" s="18" t="s">
        <v>108</v>
      </c>
      <c r="D16" s="3" t="s">
        <v>47</v>
      </c>
      <c r="H16" s="43"/>
      <c r="I16" s="43"/>
      <c r="J16" s="26">
        <f>'3. Input nacalculaties'!J11</f>
        <v>-6019283.6071680002</v>
      </c>
      <c r="K16" s="7"/>
      <c r="L16" s="7"/>
    </row>
    <row r="17" spans="2:12">
      <c r="B17" t="s">
        <v>110</v>
      </c>
      <c r="D17" s="3" t="s">
        <v>47</v>
      </c>
      <c r="H17" s="98"/>
      <c r="I17" s="98"/>
      <c r="J17" s="26">
        <f>'3. Input nacalculaties'!J12</f>
        <v>-5528386.5499999998</v>
      </c>
      <c r="K17" s="7"/>
      <c r="L17" s="7"/>
    </row>
    <row r="18" spans="2:12">
      <c r="B18" s="3" t="s">
        <v>134</v>
      </c>
      <c r="D18" s="3" t="s">
        <v>47</v>
      </c>
      <c r="H18" s="43"/>
      <c r="I18" s="43"/>
      <c r="J18" s="27">
        <f>J16-J17</f>
        <v>-490897.05716800038</v>
      </c>
      <c r="K18" s="7"/>
      <c r="L18" s="7"/>
    </row>
    <row r="19" spans="2:12">
      <c r="B19" s="3" t="s">
        <v>135</v>
      </c>
      <c r="D19" s="3" t="s">
        <v>47</v>
      </c>
      <c r="H19" s="43"/>
      <c r="I19" s="43"/>
      <c r="J19" s="26">
        <f>J18</f>
        <v>-490897.05716800038</v>
      </c>
      <c r="K19" s="7"/>
      <c r="L19" s="7"/>
    </row>
    <row r="20" spans="2:12">
      <c r="B20" s="3" t="s">
        <v>136</v>
      </c>
      <c r="D20" s="3" t="s">
        <v>47</v>
      </c>
      <c r="H20" s="7"/>
      <c r="I20" s="7"/>
      <c r="J20" s="43"/>
      <c r="K20" s="43"/>
      <c r="L20" s="112">
        <f>J19*L$12</f>
        <v>-551522.8437282485</v>
      </c>
    </row>
    <row r="22" spans="2:12" s="6" customFormat="1">
      <c r="B22" s="6" t="s">
        <v>112</v>
      </c>
    </row>
    <row r="24" spans="2:12">
      <c r="B24" s="3" t="s">
        <v>113</v>
      </c>
      <c r="D24" s="3" t="s">
        <v>47</v>
      </c>
      <c r="H24" s="43"/>
      <c r="I24" s="43"/>
      <c r="J24" s="111">
        <f>'3. Input nacalculaties'!J16</f>
        <v>0</v>
      </c>
      <c r="K24" s="7"/>
      <c r="L24" s="7"/>
    </row>
    <row r="25" spans="2:12">
      <c r="B25" s="3" t="s">
        <v>136</v>
      </c>
      <c r="D25" s="3" t="s">
        <v>47</v>
      </c>
      <c r="H25" s="7"/>
      <c r="I25" s="7"/>
      <c r="J25" s="43"/>
      <c r="K25" s="43"/>
      <c r="L25" s="112">
        <f>J24*L$12</f>
        <v>0</v>
      </c>
    </row>
    <row r="27" spans="2:12" s="6" customFormat="1">
      <c r="B27" s="6" t="s">
        <v>114</v>
      </c>
    </row>
    <row r="29" spans="2:12">
      <c r="B29" s="3" t="s">
        <v>113</v>
      </c>
      <c r="D29" s="3" t="s">
        <v>47</v>
      </c>
      <c r="H29" s="43"/>
      <c r="I29" s="43"/>
      <c r="J29" s="111">
        <f>'3. Input nacalculaties'!J20</f>
        <v>12343267.24</v>
      </c>
      <c r="K29" s="7"/>
      <c r="L29" s="7"/>
    </row>
    <row r="30" spans="2:12">
      <c r="B30" s="3" t="s">
        <v>136</v>
      </c>
      <c r="D30" s="3" t="s">
        <v>47</v>
      </c>
      <c r="H30" s="7"/>
      <c r="I30" s="7"/>
      <c r="J30" s="43"/>
      <c r="K30" s="43"/>
      <c r="L30" s="112">
        <f>J29*L$12</f>
        <v>13867660.744140003</v>
      </c>
    </row>
    <row r="32" spans="2:12" s="6" customFormat="1">
      <c r="B32" s="6" t="s">
        <v>115</v>
      </c>
    </row>
    <row r="34" spans="2:12">
      <c r="B34" s="3" t="s">
        <v>116</v>
      </c>
      <c r="D34" s="3" t="s">
        <v>47</v>
      </c>
      <c r="H34" s="43"/>
      <c r="I34" s="43"/>
      <c r="J34" s="111">
        <f>'3. Input nacalculaties'!J24</f>
        <v>-1399777.41</v>
      </c>
      <c r="K34" s="7"/>
      <c r="L34" s="7"/>
    </row>
    <row r="35" spans="2:12">
      <c r="B35" s="3" t="s">
        <v>117</v>
      </c>
      <c r="D35" s="3" t="s">
        <v>47</v>
      </c>
      <c r="H35" s="98"/>
      <c r="I35" s="98"/>
      <c r="J35" s="111">
        <f>'3. Input nacalculaties'!J25</f>
        <v>-3657.29</v>
      </c>
      <c r="K35" s="7"/>
      <c r="L35" s="7"/>
    </row>
    <row r="36" spans="2:12">
      <c r="B36" s="3" t="s">
        <v>137</v>
      </c>
      <c r="D36" s="3" t="s">
        <v>47</v>
      </c>
      <c r="H36" s="43"/>
      <c r="I36" s="43"/>
      <c r="J36" s="27">
        <f>SUM(J34:J35)</f>
        <v>-1403434.7</v>
      </c>
      <c r="K36" s="7"/>
      <c r="L36" s="7"/>
    </row>
    <row r="37" spans="2:12">
      <c r="B37" s="3" t="s">
        <v>136</v>
      </c>
      <c r="D37" s="3" t="s">
        <v>47</v>
      </c>
      <c r="H37" s="7"/>
      <c r="I37" s="7"/>
      <c r="J37" s="43"/>
      <c r="K37" s="43"/>
      <c r="L37" s="112">
        <f>J36*L$12</f>
        <v>-1576758.8854500002</v>
      </c>
    </row>
    <row r="39" spans="2:12" s="6" customFormat="1">
      <c r="B39" s="6" t="s">
        <v>118</v>
      </c>
    </row>
    <row r="41" spans="2:12">
      <c r="B41" s="3" t="s">
        <v>113</v>
      </c>
      <c r="D41" s="3" t="s">
        <v>47</v>
      </c>
      <c r="H41" s="43"/>
      <c r="I41" s="43"/>
      <c r="J41" s="111">
        <f>'3. Input nacalculaties'!J29</f>
        <v>0</v>
      </c>
      <c r="K41" s="7"/>
      <c r="L41" s="7"/>
    </row>
    <row r="42" spans="2:12">
      <c r="B42" s="3" t="s">
        <v>136</v>
      </c>
      <c r="D42" s="3" t="s">
        <v>47</v>
      </c>
      <c r="H42" s="7"/>
      <c r="I42" s="7"/>
      <c r="J42" s="43"/>
      <c r="K42" s="43"/>
      <c r="L42" s="112">
        <f>J41*L$12</f>
        <v>0</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P22"/>
  <sheetViews>
    <sheetView showGridLines="0" zoomScale="90" zoomScaleNormal="90" workbookViewId="0">
      <pane xSplit="4" ySplit="7" topLeftCell="E8" activePane="bottomRight" state="frozen"/>
      <selection pane="topRight" activeCell="E1" sqref="E1"/>
      <selection pane="bottomLeft" activeCell="A8" sqref="A8"/>
      <selection pane="bottomRight" activeCell="E8" sqref="E8"/>
    </sheetView>
  </sheetViews>
  <sheetFormatPr defaultColWidth="9.140625" defaultRowHeight="12.75"/>
  <cols>
    <col min="1" max="1" width="2.5703125" style="3" customWidth="1"/>
    <col min="2" max="2" width="86.85546875" style="3" customWidth="1"/>
    <col min="3" max="3" width="2.5703125" style="3" customWidth="1"/>
    <col min="4" max="4" width="15.42578125" style="3" customWidth="1"/>
    <col min="5" max="5" width="2.5703125" style="3" customWidth="1"/>
    <col min="6" max="6" width="13.5703125" style="3" customWidth="1"/>
    <col min="7" max="7" width="2.5703125" style="3" customWidth="1"/>
    <col min="8" max="9" width="14.85546875" style="3" bestFit="1" customWidth="1"/>
    <col min="10" max="10" width="18" style="3" bestFit="1" customWidth="1"/>
    <col min="11" max="11" width="14.85546875" style="3" bestFit="1" customWidth="1"/>
    <col min="12" max="12" width="15.5703125" style="3" bestFit="1" customWidth="1"/>
    <col min="13" max="13" width="15.5703125" style="3" customWidth="1"/>
    <col min="14" max="14" width="7.140625" style="3" customWidth="1"/>
    <col min="15" max="20" width="13.5703125" style="3" customWidth="1"/>
    <col min="21" max="16384" width="9.140625" style="3"/>
  </cols>
  <sheetData>
    <row r="2" spans="2:16" s="8" customFormat="1" ht="18">
      <c r="B2" s="8" t="s">
        <v>138</v>
      </c>
    </row>
    <row r="4" spans="2:16">
      <c r="B4" s="11" t="s">
        <v>130</v>
      </c>
      <c r="C4" s="2"/>
    </row>
    <row r="5" spans="2:16">
      <c r="B5" s="116" t="s">
        <v>139</v>
      </c>
      <c r="C5" s="116"/>
      <c r="D5" s="116"/>
      <c r="F5" s="9"/>
    </row>
    <row r="7" spans="2:16" s="6" customFormat="1">
      <c r="B7" s="6" t="s">
        <v>5</v>
      </c>
      <c r="D7" s="6" t="s">
        <v>42</v>
      </c>
      <c r="F7" s="6" t="s">
        <v>43</v>
      </c>
      <c r="H7" s="29">
        <v>2021</v>
      </c>
      <c r="I7" s="29">
        <v>2022</v>
      </c>
      <c r="J7" s="29">
        <v>2023</v>
      </c>
      <c r="K7" s="29">
        <v>2024</v>
      </c>
      <c r="L7" s="29">
        <v>2025</v>
      </c>
      <c r="M7" s="29">
        <v>2026</v>
      </c>
      <c r="O7" s="6" t="s">
        <v>45</v>
      </c>
    </row>
    <row r="9" spans="2:16" s="6" customFormat="1">
      <c r="B9" s="6" t="s">
        <v>140</v>
      </c>
    </row>
    <row r="11" spans="2:16">
      <c r="B11" s="3" t="s">
        <v>107</v>
      </c>
      <c r="D11" s="3" t="s">
        <v>47</v>
      </c>
      <c r="H11" s="28"/>
      <c r="I11" s="28"/>
      <c r="J11" s="28"/>
      <c r="K11" s="28"/>
      <c r="L11" s="28"/>
      <c r="M11" s="50">
        <f>'5. Nacalculaties'!L20</f>
        <v>-551522.8437282485</v>
      </c>
      <c r="O11" s="51"/>
      <c r="P11" s="41"/>
    </row>
    <row r="12" spans="2:16">
      <c r="B12" s="3" t="s">
        <v>112</v>
      </c>
      <c r="D12" s="3" t="s">
        <v>47</v>
      </c>
      <c r="H12" s="28"/>
      <c r="I12" s="28"/>
      <c r="J12" s="28"/>
      <c r="K12" s="28"/>
      <c r="L12" s="28"/>
      <c r="M12" s="114">
        <f>'5. Nacalculaties'!L25</f>
        <v>0</v>
      </c>
      <c r="O12" s="51"/>
    </row>
    <row r="13" spans="2:16">
      <c r="B13" s="3" t="s">
        <v>114</v>
      </c>
      <c r="D13" s="3" t="s">
        <v>47</v>
      </c>
      <c r="H13" s="28"/>
      <c r="I13" s="28"/>
      <c r="J13" s="28"/>
      <c r="K13" s="28"/>
      <c r="L13" s="28"/>
      <c r="M13" s="50">
        <f>'5. Nacalculaties'!L30</f>
        <v>13867660.744140003</v>
      </c>
      <c r="O13" s="51"/>
    </row>
    <row r="14" spans="2:16">
      <c r="B14" s="3" t="s">
        <v>174</v>
      </c>
      <c r="D14" s="3" t="s">
        <v>47</v>
      </c>
      <c r="H14" s="28"/>
      <c r="I14" s="28"/>
      <c r="J14" s="28"/>
      <c r="K14" s="28"/>
      <c r="L14" s="28"/>
      <c r="M14" s="50">
        <f>'5. Nacalculaties'!L37</f>
        <v>-1576758.8854500002</v>
      </c>
      <c r="O14" s="51"/>
    </row>
    <row r="15" spans="2:16">
      <c r="B15" s="3" t="s">
        <v>118</v>
      </c>
      <c r="D15" s="3" t="s">
        <v>47</v>
      </c>
      <c r="H15" s="28"/>
      <c r="I15" s="28"/>
      <c r="J15" s="28"/>
      <c r="K15" s="28"/>
      <c r="L15" s="28"/>
      <c r="M15" s="114">
        <f>'5. Nacalculaties'!L42</f>
        <v>0</v>
      </c>
      <c r="O15" s="51"/>
    </row>
    <row r="17" spans="2:13" s="6" customFormat="1">
      <c r="B17" s="6" t="s">
        <v>141</v>
      </c>
    </row>
    <row r="19" spans="2:13">
      <c r="B19" s="3" t="s">
        <v>142</v>
      </c>
      <c r="D19" s="3" t="s">
        <v>47</v>
      </c>
      <c r="H19" s="28"/>
      <c r="I19" s="28"/>
      <c r="J19" s="28"/>
      <c r="K19" s="28"/>
      <c r="L19" s="28"/>
      <c r="M19" s="44">
        <f>SUM(M11:M15)</f>
        <v>11739379.014961755</v>
      </c>
    </row>
    <row r="20" spans="2:13">
      <c r="J20" s="41"/>
    </row>
    <row r="21" spans="2:13">
      <c r="J21" s="15"/>
      <c r="K21" s="41"/>
    </row>
    <row r="22" spans="2:13">
      <c r="I22" s="41"/>
      <c r="J22" s="41"/>
      <c r="K22" s="15"/>
      <c r="L22" s="15"/>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Q53"/>
  <sheetViews>
    <sheetView showGridLines="0" zoomScale="85" zoomScaleNormal="85" workbookViewId="0">
      <pane xSplit="4" ySplit="7" topLeftCell="E8" activePane="bottomRight" state="frozen"/>
      <selection pane="topRight" activeCell="E1" sqref="E1"/>
      <selection pane="bottomLeft" activeCell="A8" sqref="A8"/>
      <selection pane="bottomRight" activeCell="E8" sqref="E8"/>
    </sheetView>
  </sheetViews>
  <sheetFormatPr defaultColWidth="9.140625" defaultRowHeight="12.75"/>
  <cols>
    <col min="1" max="1" width="2.5703125" style="3" customWidth="1"/>
    <col min="2" max="2" width="57.42578125" style="3" bestFit="1" customWidth="1"/>
    <col min="3" max="3" width="2.5703125" style="3" customWidth="1"/>
    <col min="4" max="4" width="25.5703125" style="3" customWidth="1"/>
    <col min="5" max="5" width="2.5703125" style="3" customWidth="1"/>
    <col min="6" max="6" width="14.5703125" style="3" bestFit="1" customWidth="1"/>
    <col min="7" max="7" width="2.5703125" style="3" customWidth="1"/>
    <col min="8" max="12" width="8.5703125" style="3" customWidth="1"/>
    <col min="13" max="13" width="16.85546875" style="3" bestFit="1" customWidth="1"/>
    <col min="14" max="14" width="2.5703125" style="3" customWidth="1"/>
    <col min="15" max="22" width="13.5703125" style="3" customWidth="1"/>
    <col min="23" max="16384" width="9.140625" style="3"/>
  </cols>
  <sheetData>
    <row r="2" spans="2:15" s="8" customFormat="1" ht="18">
      <c r="B2" s="8" t="s">
        <v>143</v>
      </c>
    </row>
    <row r="4" spans="2:15">
      <c r="B4" s="11" t="s">
        <v>130</v>
      </c>
      <c r="C4" s="2"/>
    </row>
    <row r="5" spans="2:15">
      <c r="B5" s="116" t="s">
        <v>144</v>
      </c>
      <c r="C5" s="116"/>
      <c r="D5" s="116"/>
      <c r="F5" s="9"/>
    </row>
    <row r="7" spans="2:15" s="6" customFormat="1">
      <c r="B7" s="6" t="s">
        <v>5</v>
      </c>
      <c r="D7" s="6" t="s">
        <v>42</v>
      </c>
      <c r="F7" s="6" t="s">
        <v>43</v>
      </c>
      <c r="H7" s="29">
        <v>2021</v>
      </c>
      <c r="I7" s="29">
        <v>2022</v>
      </c>
      <c r="J7" s="29">
        <v>2023</v>
      </c>
      <c r="K7" s="29">
        <v>2024</v>
      </c>
      <c r="L7" s="29">
        <v>2025</v>
      </c>
      <c r="M7" s="29">
        <v>2026</v>
      </c>
      <c r="O7" s="6" t="s">
        <v>45</v>
      </c>
    </row>
    <row r="9" spans="2:15" s="6" customFormat="1">
      <c r="B9" s="6" t="s">
        <v>145</v>
      </c>
    </row>
    <row r="11" spans="2:15">
      <c r="B11" s="11" t="s">
        <v>121</v>
      </c>
    </row>
    <row r="12" spans="2:15">
      <c r="B12" s="3" t="s">
        <v>122</v>
      </c>
      <c r="D12" s="3" t="s">
        <v>123</v>
      </c>
      <c r="H12" s="7"/>
      <c r="I12" s="7"/>
      <c r="J12" s="7"/>
      <c r="K12" s="43"/>
      <c r="L12" s="43"/>
      <c r="M12" s="26">
        <f>'4. Input capaciteit'!N12</f>
        <v>120046510</v>
      </c>
    </row>
    <row r="13" spans="2:15">
      <c r="B13" s="3" t="s">
        <v>125</v>
      </c>
      <c r="D13" s="3" t="s">
        <v>123</v>
      </c>
      <c r="H13" s="7"/>
      <c r="I13" s="7"/>
      <c r="J13" s="7"/>
      <c r="K13" s="43"/>
      <c r="L13" s="43"/>
      <c r="M13" s="26">
        <f>'4. Input capaciteit'!N13</f>
        <v>209953490</v>
      </c>
    </row>
    <row r="15" spans="2:15">
      <c r="B15" s="3" t="s">
        <v>126</v>
      </c>
      <c r="D15" s="3" t="s">
        <v>123</v>
      </c>
      <c r="H15" s="7"/>
      <c r="I15" s="7"/>
      <c r="J15" s="7"/>
      <c r="K15" s="43"/>
      <c r="L15" s="43"/>
      <c r="M15" s="26">
        <f>'4. Input capaciteit'!N15</f>
        <v>39223965</v>
      </c>
    </row>
    <row r="16" spans="2:15">
      <c r="B16" s="3" t="s">
        <v>127</v>
      </c>
      <c r="D16" s="3" t="s">
        <v>123</v>
      </c>
      <c r="H16" s="7"/>
      <c r="I16" s="7"/>
      <c r="J16" s="7"/>
      <c r="K16" s="43"/>
      <c r="L16" s="43"/>
      <c r="M16" s="26">
        <f>'4. Input capaciteit'!N16</f>
        <v>25534868</v>
      </c>
    </row>
    <row r="18" spans="2:17">
      <c r="B18" s="3" t="s">
        <v>128</v>
      </c>
      <c r="D18" s="3" t="s">
        <v>123</v>
      </c>
      <c r="H18" s="7"/>
      <c r="I18" s="7"/>
      <c r="J18" s="7"/>
      <c r="K18" s="43"/>
      <c r="L18" s="43"/>
      <c r="M18" s="26">
        <f>'4. Input capaciteit'!N18</f>
        <v>32891425</v>
      </c>
    </row>
    <row r="20" spans="2:17">
      <c r="B20" s="2" t="s">
        <v>65</v>
      </c>
    </row>
    <row r="21" spans="2:17">
      <c r="B21" s="3" t="s">
        <v>66</v>
      </c>
      <c r="D21" s="3" t="s">
        <v>46</v>
      </c>
      <c r="F21" s="34">
        <f>'2. Parameters'!F30</f>
        <v>0.75</v>
      </c>
    </row>
    <row r="22" spans="2:17">
      <c r="B22" s="3" t="s">
        <v>67</v>
      </c>
      <c r="D22" s="3" t="s">
        <v>46</v>
      </c>
      <c r="F22" s="34">
        <f>'2. Parameters'!F31</f>
        <v>0.2</v>
      </c>
    </row>
    <row r="23" spans="2:17">
      <c r="F23" s="13"/>
    </row>
    <row r="24" spans="2:17">
      <c r="B24" s="2" t="s">
        <v>61</v>
      </c>
      <c r="F24" s="13"/>
    </row>
    <row r="25" spans="2:17">
      <c r="B25" s="3" t="s">
        <v>62</v>
      </c>
      <c r="D25" s="3" t="s">
        <v>46</v>
      </c>
      <c r="F25" s="34">
        <f>'2. Parameters'!F25</f>
        <v>0.4</v>
      </c>
    </row>
    <row r="26" spans="2:17">
      <c r="B26" s="3" t="s">
        <v>64</v>
      </c>
      <c r="D26" s="3" t="s">
        <v>46</v>
      </c>
      <c r="F26" s="34">
        <f>'2. Parameters'!F26</f>
        <v>0.6</v>
      </c>
    </row>
    <row r="28" spans="2:17" s="6" customFormat="1">
      <c r="B28" s="6" t="s">
        <v>146</v>
      </c>
    </row>
    <row r="30" spans="2:17">
      <c r="B30" s="3" t="s">
        <v>141</v>
      </c>
      <c r="D30" s="3" t="s">
        <v>47</v>
      </c>
      <c r="H30" s="7"/>
      <c r="I30" s="7"/>
      <c r="J30" s="43"/>
      <c r="K30" s="43"/>
      <c r="L30" s="43"/>
      <c r="M30" s="26">
        <f>'6. Toegestane inkomsten'!M19</f>
        <v>11739379.014961755</v>
      </c>
      <c r="O30" s="41"/>
      <c r="P30" s="15"/>
    </row>
    <row r="32" spans="2:17">
      <c r="B32" s="3" t="s">
        <v>147</v>
      </c>
      <c r="D32" s="3" t="s">
        <v>148</v>
      </c>
      <c r="H32" s="7"/>
      <c r="I32" s="7"/>
      <c r="J32" s="7"/>
      <c r="K32" s="66"/>
      <c r="L32" s="43"/>
      <c r="M32" s="17">
        <f>(M$30*$F25)/M12</f>
        <v>3.9116102633760044E-2</v>
      </c>
      <c r="O32" s="108"/>
      <c r="Q32" s="113"/>
    </row>
    <row r="33" spans="2:17">
      <c r="B33" s="3" t="s">
        <v>149</v>
      </c>
      <c r="D33" s="3" t="s">
        <v>148</v>
      </c>
      <c r="H33" s="7"/>
      <c r="I33" s="7"/>
      <c r="J33" s="7"/>
      <c r="K33" s="100"/>
      <c r="L33" s="43"/>
      <c r="M33" s="17">
        <f>(M$30*$F26)/M13</f>
        <v>3.354851309676754E-2</v>
      </c>
      <c r="Q33" s="113"/>
    </row>
    <row r="35" spans="2:17" s="6" customFormat="1">
      <c r="B35" s="6" t="s">
        <v>150</v>
      </c>
    </row>
    <row r="37" spans="2:17">
      <c r="B37" s="3" t="s">
        <v>151</v>
      </c>
      <c r="D37" s="3" t="s">
        <v>47</v>
      </c>
      <c r="H37" s="7"/>
      <c r="I37" s="7"/>
      <c r="J37" s="7"/>
      <c r="K37" s="43"/>
      <c r="L37" s="43"/>
      <c r="M37" s="27">
        <f>$F21*(M15*M32+M16*M33)+$F22*M18*M32</f>
        <v>2050525.9918380559</v>
      </c>
      <c r="O37" s="41"/>
      <c r="Q37" s="113"/>
    </row>
    <row r="38" spans="2:17">
      <c r="B38" s="3" t="s">
        <v>152</v>
      </c>
      <c r="H38" s="7"/>
      <c r="I38" s="7"/>
      <c r="J38" s="7"/>
      <c r="K38" s="66"/>
      <c r="L38" s="43"/>
      <c r="M38" s="17">
        <f>M30/(M30-M37)</f>
        <v>1.2116376403836668</v>
      </c>
      <c r="Q38" s="113"/>
    </row>
    <row r="40" spans="2:17" s="6" customFormat="1">
      <c r="B40" s="6" t="s">
        <v>153</v>
      </c>
    </row>
    <row r="42" spans="2:17">
      <c r="B42" s="3" t="s">
        <v>154</v>
      </c>
      <c r="D42" s="3" t="s">
        <v>148</v>
      </c>
      <c r="H42" s="7"/>
      <c r="I42" s="7"/>
      <c r="J42" s="66"/>
      <c r="K42" s="101"/>
      <c r="L42" s="43"/>
      <c r="M42" s="52">
        <f>M32*M$38</f>
        <v>4.7394542296174354E-2</v>
      </c>
      <c r="O42" s="15"/>
      <c r="Q42" s="113"/>
    </row>
    <row r="43" spans="2:17">
      <c r="B43" s="3" t="s">
        <v>155</v>
      </c>
      <c r="D43" s="3" t="s">
        <v>148</v>
      </c>
      <c r="H43" s="7"/>
      <c r="I43" s="7"/>
      <c r="J43" s="66"/>
      <c r="K43" s="101"/>
      <c r="L43" s="43"/>
      <c r="M43" s="52">
        <f>M33*M$38</f>
        <v>4.0648641246947968E-2</v>
      </c>
      <c r="O43" s="65"/>
      <c r="Q43" s="113"/>
    </row>
    <row r="44" spans="2:17">
      <c r="B44" s="3" t="s">
        <v>156</v>
      </c>
      <c r="D44" s="3" t="s">
        <v>148</v>
      </c>
      <c r="H44" s="7"/>
      <c r="I44" s="7"/>
      <c r="J44" s="66"/>
      <c r="K44" s="101"/>
      <c r="L44" s="43"/>
      <c r="M44" s="52">
        <f>(1-$F$21)*M32*M$38</f>
        <v>1.1848635574043588E-2</v>
      </c>
      <c r="O44" s="65"/>
      <c r="Q44" s="113"/>
    </row>
    <row r="45" spans="2:17">
      <c r="B45" s="3" t="s">
        <v>157</v>
      </c>
      <c r="D45" s="3" t="s">
        <v>148</v>
      </c>
      <c r="H45" s="7"/>
      <c r="I45" s="7"/>
      <c r="J45" s="66"/>
      <c r="K45" s="101"/>
      <c r="L45" s="43"/>
      <c r="M45" s="52">
        <f>(1-$F$21)*M33*M$38</f>
        <v>1.0162160311736992E-2</v>
      </c>
      <c r="O45" s="65"/>
      <c r="Q45" s="113"/>
    </row>
    <row r="46" spans="2:17">
      <c r="B46" s="3" t="s">
        <v>158</v>
      </c>
      <c r="D46" s="3" t="s">
        <v>148</v>
      </c>
      <c r="H46" s="7"/>
      <c r="I46" s="7"/>
      <c r="J46" s="66"/>
      <c r="K46" s="101"/>
      <c r="L46" s="43"/>
      <c r="M46" s="52">
        <f>(1-$F22)*M32*M38</f>
        <v>3.7915633836939487E-2</v>
      </c>
      <c r="O46" s="65"/>
      <c r="Q46" s="113"/>
    </row>
    <row r="48" spans="2:17" s="6" customFormat="1">
      <c r="B48" s="6" t="s">
        <v>159</v>
      </c>
    </row>
    <row r="50" spans="2:13">
      <c r="B50" s="3" t="s">
        <v>160</v>
      </c>
      <c r="D50" s="3" t="s">
        <v>47</v>
      </c>
      <c r="H50" s="7"/>
      <c r="I50" s="7"/>
      <c r="J50" s="7"/>
      <c r="K50" s="102"/>
      <c r="L50" s="43"/>
      <c r="M50" s="14">
        <f>M12*M32+M13*M33</f>
        <v>11739379.014961755</v>
      </c>
    </row>
    <row r="51" spans="2:13">
      <c r="B51" s="3" t="s">
        <v>161</v>
      </c>
      <c r="D51" s="3" t="s">
        <v>47</v>
      </c>
      <c r="H51" s="7"/>
      <c r="I51" s="7"/>
      <c r="J51" s="7"/>
      <c r="K51" s="102"/>
      <c r="L51" s="43"/>
      <c r="M51" s="14">
        <f>(M12-M15-M18)*M42+(M13-M16)*M43+M15*M44+M16*M45+M18*M46</f>
        <v>11739379.014961757</v>
      </c>
    </row>
    <row r="53" spans="2:13">
      <c r="B53" s="3" t="s">
        <v>162</v>
      </c>
      <c r="H53" s="7"/>
      <c r="I53" s="7"/>
      <c r="J53" s="7"/>
      <c r="K53" s="102"/>
      <c r="L53" s="43"/>
      <c r="M53" s="14" t="b">
        <f>ROUND(M50,3)=ROUND(M51,3)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VYM6E4WDAQJW-1774619013-237</_dlc_DocId>
    <_dlc_DocIdUrl xmlns="0009d3ae-0f9e-47be-ae31-9d6cd8b104c4">
      <Url>https://gasunie.sharepoint.com/sites/20190841/_layouts/15/DocIdRedir.aspx?ID=VYM6E4WDAQJW-1774619013-237</Url>
      <Description>VYM6E4WDAQJW-1774619013-237</Description>
    </_dlc_DocIdUrl>
  </documentManagement>
</p:properties>
</file>

<file path=customXml/item2.xml>��< ? x m l   v e r s i o n = " 1 . 0 "   e n c o d i n g = " U T F - 1 6 "   s t a n d a l o n e = " n o " ? > < D a t a M a s h u p   x m l n s = " h t t p : / / s c h e m a s . m i c r o s o f t . c o m / D a t a M a s h u p " > A A A A A F 8 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b V F i u 6 s A A A D 3 A A A A E g A A A E N v b m Z p Z y 9 Q Y W N r Y W d l L n h t b I S P s Q 6 C M B i E d x P f g X S n L X U j p Q y u Y E x M j G s D D T S W v 4 Y W y 7 s 5 + E i + g h B F 3 R z v 7 k v u 7 n G 7 8 3 z s T H R V v d M W M p R g i i L n J d T S W F A Z A o t y s V 7 x v a z O s l H R R I N L R 1 d n q P X + k h I S Q s B h g 2 3 f E E Z p Q k 5 l c a h a 1 U n 0 g f V / O N Y w 1 1 Y K C X 5 8 r R E M J 4 x i x h i m n C w m L z V 8 A T Y N n t M f k 2 8 H 4 4 d e C T D x r u B k k Z y 8 P 4 g n A A A A / / 8 D A F B L A w Q U A A I A C A A A A C E A i r L + h 3 A F A A B U G w A A E w A A A E Z v c m 1 1 b G F z L 1 N l Y 3 R p b 2 4 x L m 3 s W F 1 v 4 k Y U f Y + 0 / 2 H k v G A J S A z Z v m y J B J s 2 y j Y J 3 U C z D w h F A 7 4 4 D v a Y n R m T N o j / 3 j u 2 w T a M D W y 6 2 1 2 1 E Q p g 7 t z v O e f O C B h L N 2 C k F 7 9 b 7 4 6 O x C P l Y J N j 4 9 M f V y d d f x S E z w Z p E Q / k m y O C f x 2 O 8 i 3 S + + z V L 6 i k I y p A V I z 2 + 5 v a T e / j d e 2 0 1 m x W r b N m 8 9 Q w q / G K u 4 u H 6 9 v O w y W u U o s X g 1 v q Q 8 t Y P T a G y 4 H S N E z E 7 V H w c M X m I C R w l z m g r K 1 k F 4 P e + B F 8 2 j J Q y q h e S f B b R k 5 4 U 9 u x 8 Y F S f t 5 q n D Z O V R x 9 O v K g 3 g M P I 7 4 L n k V l y 1 y V A B 0 / k o F a R 0 b g u I z Q i R g / c v d p D m x I z l t E K T P X B u 7 c J 3 T S g Y n r o Q 5 b a y X n R m K h M j g 2 7 o H P K U M b D j k h o S t H H F w b v x l D 1 K J K Y J C A E z K I C y E p n U Y / f K C G W e i A V e D B p p 9 r N 9 p Y / D k d U w l O w F 0 Y k p / P i X H W J D 3 p T o U M J q m t N v o K M y q k t Z c J a 2 1 D x a p P a B S p S g u h z C Z x S o Q L 0 W P L V N H v X m u 9 Y m 1 D s 7 a x 5 9 q m 1 m 6 m M r 8 F X u D 7 m J I 5 8 G f 3 y c 6 1 x x 3 4 w R z e B 1 7 o M 1 F J U 1 t d G J 9 A S v D c p y k Q V X N M o 9 H / a w a E q k p F f a o e 3 V B l P v + s O / O B T 5 M v H e x q F B E z q q p t / B p 4 6 I H 6 l P i r 1 K J X x G U e v G B Y + L 0 d S g i 5 s d y q + N u 1 3 5 c 8 C G c V f X B V s j A 2 2 k l p L U h j 7 I l + A 6 h Y 1 k 2 f D Y Z R 6 h t L N L T I 7 n w x A p t T Z 9 V w 1 6 6 Q 9 V 7 o V w b b M k O z S q T K J g s 9 T 0 W E H / w R 8 O V 2 0 M 2 0 z Q M u 0 x q 9 r a L 1 E t e 7 H L N R v w A x B q Y e a V Q 3 C l Q 3 l e r C f M W K 2 9 t 6 j z E Z N v x J Z A A O z P F f p t H a t h 3 9 G L d a a q q B W Y 1 + Q M V W 9 L p i 8 q e z u m q 1 V O 9 9 4 G E d b S A Y L J m u a u 4 A l v z F d X L 9 r M T 4 q q E 1 H l U X a 3 v 6 2 p U 0 i q a r v r R 3 z D d H L t s 3 v J Q S N 0 n p f 0 o s o M R d L K G j w g 2 C u w X Q s E 5 D r y + 1 t z + 1 3 t + v q H W X 5 B 2 S s F m G D F p X G v 9 1 6 l u N A g 4 P Y A Y 5 4 o s J J I N 4 h 5 J G b j u n d P Z 1 S S E N S S B g 5 y O K I F w X 8 1 c H c 4 1 X P z i q F x X 3 C 1 E b S d h N n f q + Y T v v q w 6 5 9 z l r F M E 3 I p E q R B 5 0 4 u x m U S M j Y + 0 h 0 9 i U a W z L N L d l z F 0 D k e a 8 g n u p G 3 A x w 9 R P o + m Y Z L I l n t B e 2 a b S s V J u 8 m o o A 3 F D T j 0 q B J R v 0 R 1 o k J 3 n Y w w o V 3 f A U U G 3 5 x f F w / 6 u E f 8 g t N E P / f 8 e 4 G z U a 4 8 G W d V C d 8 j a A I t K k N M G O X U x v J n x o Q t H B n w k M S L b B S I Q F t g j j b a 8 D 5 L Y O b W l I F f W D 1 Z x Q + z K r u Z M u d y 7 N l Z J c b R u v r J A 3 6 w K q 0 7 4 J y j H y n B O 1 3 9 B e x H V F D G N n m j Q 9 p p M z O q a R D Z 5 Y c 0 / G g 6 J b K f E c S B v b F r 6 / q g j G j J f g 5 k p n R w M m d G 5 E t P L w Q m 9 u D m Z C 7 I m K c 4 u E w f i 5 w k k d q h H 2 T j u 0 i B t z U i J u q 9 x 1 A 4 8 7 A Z P D 7 7 J i a c X j j J X e H h w 6 Q e 4 z z 0 i O W V i h k R R q 5 J R x i f 8 S v E X D w 8 8 U a l r B B V P n 6 n n S n C l G A f Y B y r p E V i U 5 t z a O + k R N C R + Z d K V X G x F h j F D S x O 3 X Z m 5 7 D V 1 d w a c q s t r T B R u y y j F 3 3 T K O 1 a 7 7 6 H A j d J x T 7 d m S / l B P V 7 k i c p 6 / 6 S D r 3 b / p N 1 X P f j 7 d c S B H 9 v q 7 R Z C b J O k 8 o 8 w m S Q A u a t U J N P N + O k X z / V d h s Z B E B k i 4 D N y 2 e + R T v 2 + r p r r 8 j L + n N G s I J / D F F i M a w d I r 2 V L L z p 3 z z 7 7 3 d 6 X 7 T w N p m l 2 4 x W b B s E s r g e G B 9 x B i v L r Y X 1 e J z O g U 2 x o 1 B 3 d S e y 5 O F 1 F C p Z 1 m f Q p U 6 y P + z 1 Z b W + e M c z E 4 9 x 0 H u n b g u E f O y z L N H e d B f S H j s L h P R 0 P U o X v / g Y A A P / / A w B Q S w E C L Q A U A A Y A C A A A A C E A K t 2 q Q N I A A A A 3 A Q A A E w A A A A A A A A A A A A A A A A A A A A A A W 0 N v b n R l b n R f V H l w Z X N d L n h t b F B L A Q I t A B Q A A g A I A A A A I Q B t U W K 7 q w A A A P c A A A A S A A A A A A A A A A A A A A A A A A s D A A B D b 2 5 m a W c v U G F j a 2 F n Z S 5 4 b W x Q S w E C L Q A U A A I A C A A A A C E A i r L + h 3 A F A A B U G w A A E w A A A A A A A A A A A A A A A A D m A w A A R m 9 y b X V s Y X M v U 2 V j d G l v b j E u b V B L B Q Y A A A A A A w A D A M I A A A C H C 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F A A A A A A A A A 2 U 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l u d m V z d G V y a W 5 n 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E 0 V D A 4 O j I z O j U w L j g y N D g 4 N D R a I i 8 + P E V u d H J 5 I F R 5 c G U 9 I k Z p b G x D b 2 x 1 b W 5 U e X B l c y I g V m F s d W U 9 I n N B d 1 V G Q m d Z R C I v P j x F b n R y e S B U e X B l P S J G a W x s Q 2 9 s d W 1 u T m F t Z X M i I F Z h b H V l P S J z W y Z x d W 9 0 O 0 l u Z G V 4 J n F 1 b 3 Q 7 L C Z x d W 9 0 O 0 l u d m V z d G V y a W 5 n c 2 J l Z H J h Z y Z x d W 9 0 O y w m c X V v d D t K Y W F y I G J l Z 2 l u I G F m c 2 N o c m l q d m V u J n F 1 b 3 Q 7 L C Z x d W 9 0 O 0 F j d G l 2 Y W N h d G V n b 3 J p Z S Z x d W 9 0 O y w m c X V v d D t C Z X N 0 Y W 5 k c 2 5 h Y W 0 m c X V v d D s s J n F 1 b 3 Q 7 V m V y c 2 l l J n F 1 b 3 Q 7 X S I v P j x F b n R y e S B U e X B l P S J G a W x s Z W R D b 2 1 w b G V 0 Z V J l c 3 V s d F R v V 2 9 y a 3 N o Z W V 0 I i B W Y W x 1 Z T 0 i b D E i L z 4 8 R W 5 0 c n k g V H l w Z T 0 i R m l s b F N 0 Y X R 1 c y I g V m F s d W U 9 I n N X Y W l 0 a W 5 n R m 9 y R X h j Z W x S Z W Z y Z X N o I i 8 + P E V u d H J 5 I F R 5 c G U 9 I k Z p b G x U b 0 R h d G F N b 2 R l b E V u Y W J s Z W Q i I F Z h b H V l P S J s M C I v P j x F b n R y e S B U e X B l P S J J c 1 B y a X Z h d G U i I F Z h b H V l P S J s M C I v P j x F b n R y e S B U e X B l P S J R d W V y e U l E I i B W Y W x 1 Z T 0 i c 2 U 2 M z M 1 M D M 5 L W Z j O G M t N D M 5 N C 0 5 Y j Q 3 L T I z Y j A y Z m U w Z D k y M S I v P j x F b n R y e S B U e X B l P S J S Z W x h d G l v b n N o a X B J b m Z v Q 2 9 u d G F p b m V y I i B W Y W x 1 Z T 0 i c 3 s m c X V v d D t j b 2 x 1 b W 5 D b 3 V u d C Z x d W 9 0 O z o 2 L C Z x d W 9 0 O 2 t l e U N v b H V t b k 5 h b W V z J n F 1 b 3 Q 7 O l t d L C Z x d W 9 0 O 3 F 1 Z X J 5 U m V s Y X R p b 2 5 z a G l w c y Z x d W 9 0 O z p b X S w m c X V v d D t j b 2 x 1 b W 5 J Z G V u d G l 0 a W V z J n F 1 b 3 Q 7 O l s m c X V v d D t T Z W N 0 a W 9 u M S 9 J b n Z l c 3 R l c m l u Z 2 V u L 0 F 1 d G 9 S Z W 1 v d m V k Q 2 9 s d W 1 u c z E u e 0 l u Z G V 4 L D B 9 J n F 1 b 3 Q 7 L C Z x d W 9 0 O 1 N l Y 3 R p b 2 4 x L 0 l u d m V z d G V y a W 5 n Z W 4 v Q X V 0 b 1 J l b W 9 2 Z W R D b 2 x 1 b W 5 z M S 5 7 S W 5 2 Z X N 0 Z X J p b m d z Y m V k c m F n L D F 9 J n F 1 b 3 Q 7 L C Z x d W 9 0 O 1 N l Y 3 R p b 2 4 x L 0 l u d m V z d G V y a W 5 n Z W 4 v Q X V 0 b 1 J l b W 9 2 Z W R D b 2 x 1 b W 5 z M S 5 7 S m F h c i B i Z W d p b i B h Z n N j a H J p a n Z l b i w y f S Z x d W 9 0 O y w m c X V v d D t T Z W N 0 a W 9 u M S 9 J b n Z l c 3 R l c m l u Z 2 V u L 0 F 1 d G 9 S Z W 1 v d m V k Q 2 9 s d W 1 u c z E u e 0 F j d G l 2 Y W N h d G V n b 3 J p Z S w z f S Z x d W 9 0 O y w m c X V v d D t T Z W N 0 a W 9 u M S 9 J b n Z l c 3 R l c m l u Z 2 V u L 0 F 1 d G 9 S Z W 1 v d m V k Q 2 9 s d W 1 u c z E u e 0 J l c 3 R h b m R z b m F h b S w 0 f S Z x d W 9 0 O y w m c X V v d D t T Z W N 0 a W 9 u M S 9 J b n Z l c 3 R l c m l u Z 2 V u L 0 F 1 d G 9 S Z W 1 v d m V k Q 2 9 s d W 1 u c z E u e 1 Z l c n N p Z S w 1 f S Z x d W 9 0 O 1 0 s J n F 1 b 3 Q 7 Q 2 9 s d W 1 u Q 2 9 1 b n Q m c X V v d D s 6 N i w m c X V v d D t L Z X l D b 2 x 1 b W 5 O Y W 1 l c y Z x d W 9 0 O z p b X S w m c X V v d D t D b 2 x 1 b W 5 J Z G V u d G l 0 a W V z J n F 1 b 3 Q 7 O l s m c X V v d D t T Z W N 0 a W 9 u M S 9 J b n Z l c 3 R l c m l u Z 2 V u L 0 F 1 d G 9 S Z W 1 v d m V k Q 2 9 s d W 1 u c z E u e 0 l u Z G V 4 L D B 9 J n F 1 b 3 Q 7 L C Z x d W 9 0 O 1 N l Y 3 R p b 2 4 x L 0 l u d m V z d G V y a W 5 n Z W 4 v Q X V 0 b 1 J l b W 9 2 Z W R D b 2 x 1 b W 5 z M S 5 7 S W 5 2 Z X N 0 Z X J p b m d z Y m V k c m F n L D F 9 J n F 1 b 3 Q 7 L C Z x d W 9 0 O 1 N l Y 3 R p b 2 4 x L 0 l u d m V z d G V y a W 5 n Z W 4 v Q X V 0 b 1 J l b W 9 2 Z W R D b 2 x 1 b W 5 z M S 5 7 S m F h c i B i Z W d p b i B h Z n N j a H J p a n Z l b i w y f S Z x d W 9 0 O y w m c X V v d D t T Z W N 0 a W 9 u M S 9 J b n Z l c 3 R l c m l u Z 2 V u L 0 F 1 d G 9 S Z W 1 v d m V k Q 2 9 s d W 1 u c z E u e 0 F j d G l 2 Y W N h d G V n b 3 J p Z S w z f S Z x d W 9 0 O y w m c X V v d D t T Z W N 0 a W 9 u M S 9 J b n Z l c 3 R l c m l u Z 2 V u L 0 F 1 d G 9 S Z W 1 v d m V k Q 2 9 s d W 1 u c z E u e 0 J l c 3 R h b m R z b m F h b S w 0 f S Z x d W 9 0 O y w m c X V v d D t T Z W N 0 a W 9 u M S 9 J b n Z l c 3 R l c m l u Z 2 V u L 0 F 1 d G 9 S Z W 1 v d m V k Q 2 9 s d W 1 u c z E u e 1 Z l c n N p Z S w 1 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E Z X N p b n Z l c 3 R l c m l u Z 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U t M T R U M D g 6 M T g 6 M z E u O D Y 1 N j Y 1 M l o i L z 4 8 R W 5 0 c n k g V H l w Z T 0 i R m l s b E N v b H V t b l R 5 c G V z I i B W Y W x 1 Z T 0 i c 0 F 3 W U N C U V V E Q m d N P S I v P j x F b n R y e S B U e X B l P S J G a W x s Q 2 9 s d W 1 u T m F t Z X M i I F Z h b H V l P S J z W y Z x d W 9 0 O 0 l u Z G V 4 J n F 1 b 3 Q 7 L C Z x d W 9 0 O 0 F j d G l 2 Y W t s Y X N z Z S Z x d W 9 0 O y w m c X V v d D t P b 3 J z c H J v b m t l b G l q a y B p b n Z l c 3 R l c m l u Z 3 N q Y W F y J n F 1 b 3 Q 7 L C Z x d W 9 0 O 0 R l c 2 l u d m V z d G V y a W 5 n I C h v b 3 J z c H J v b m t l b G l q a 2 U g a W 5 2 Z X N 0 Z X J p b m d z Y m V k c m F n K S Z x d W 9 0 O y w m c X V v d D t P c G J y Z W 5 n c 3 R l b i B k a W U g c 2 F t Z W 5 o Y W 5 n Z W 4 g b W V 0 I G R l c 2 l u d m V z d G V y a W 5 n J n F 1 b 3 Q 7 L C Z x d W 9 0 O 0 p h Y X I m c X V v d D s s J n F 1 b 3 Q 7 Q m V z d G F u Z H N u Y W F t J n F 1 b 3 Q 7 L C Z x d W 9 0 O 1 Z l c n N p 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G E 5 N z N m Z W I t O W M 0 Y y 0 0 N z h k L W F j Y 2 M t N m M 0 M D N j M z h l Z m N j I i 8 + P E V u d H J 5 I F R 5 c G U 9 I l J l b G F 0 a W 9 u c 2 h p c E l u Z m 9 D b 2 5 0 Y W l u Z X I i I F Z h b H V l P S J z e y Z x d W 9 0 O 2 N v b H V t b k N v d W 5 0 J n F 1 b 3 Q 7 O j g s J n F 1 b 3 Q 7 a 2 V 5 Q 2 9 s d W 1 u T m F t Z X M m c X V v d D s 6 W 1 0 s J n F 1 b 3 Q 7 c X V l c n l S Z W x h d G l v b n N o a X B z J n F 1 b 3 Q 7 O l t d L C Z x d W 9 0 O 2 N v b H V t b k l k Z W 5 0 a X R p Z X M m c X V v d D s 6 W y Z x d W 9 0 O 1 N l Y 3 R p b 2 4 x L 0 R l c 2 l u d m V z d G V y a W 5 n L 0 F 1 d G 9 S Z W 1 v d m V k Q 2 9 s d W 1 u c z E u e 0 l u Z G V 4 L D B 9 J n F 1 b 3 Q 7 L C Z x d W 9 0 O 1 N l Y 3 R p b 2 4 x L 0 R l c 2 l u d m V z d G V y a W 5 n L 0 F 1 d G 9 S Z W 1 v d m V k Q 2 9 s d W 1 u c z E u e 0 F j d G l 2 Y W t s Y X N z Z S w x f S Z x d W 9 0 O y w m c X V v d D t T Z W N 0 a W 9 u M S 9 E Z X N p b n Z l c 3 R l c m l u Z y 9 B d X R v U m V t b 3 Z l Z E N v b H V t b n M x L n t P b 3 J z c H J v b m t l b G l q a y B p b n Z l c 3 R l c m l u Z 3 N q Y W F y L D J 9 J n F 1 b 3 Q 7 L C Z x d W 9 0 O 1 N l Y 3 R p b 2 4 x L 0 R l c 2 l u d m V z d G V y a W 5 n L 0 F 1 d G 9 S Z W 1 v d m V k Q 2 9 s d W 1 u c z E u e 0 R l c 2 l u d m V z d G V y a W 5 n I C h v b 3 J z c H J v b m t l b G l q a 2 U g a W 5 2 Z X N 0 Z X J p b m d z Y m V k c m F n K S w z f S Z x d W 9 0 O y w m c X V v d D t T Z W N 0 a W 9 u M S 9 E Z X N p b n Z l c 3 R l c m l u Z y 9 B d X R v U m V t b 3 Z l Z E N v b H V t b n M x L n t P c G J y Z W 5 n c 3 R l b i B k a W U g c 2 F t Z W 5 o Y W 5 n Z W 4 g b W V 0 I G R l c 2 l u d m V z d G V y a W 5 n L D R 9 J n F 1 b 3 Q 7 L C Z x d W 9 0 O 1 N l Y 3 R p b 2 4 x L 0 R l c 2 l u d m V z d G V y a W 5 n L 0 F 1 d G 9 S Z W 1 v d m V k Q 2 9 s d W 1 u c z E u e 0 p h Y X I s N X 0 m c X V v d D s s J n F 1 b 3 Q 7 U 2 V j d G l v b j E v R G V z a W 5 2 Z X N 0 Z X J p b m c v Q X V 0 b 1 J l b W 9 2 Z W R D b 2 x 1 b W 5 z M S 5 7 Q m V z d G F u Z H N u Y W F t L D Z 9 J n F 1 b 3 Q 7 L C Z x d W 9 0 O 1 N l Y 3 R p b 2 4 x L 0 R l c 2 l u d m V z d G V y a W 5 n L 0 F 1 d G 9 S Z W 1 v d m V k Q 2 9 s d W 1 u c z E u e 1 Z l c n N p Z S w 3 f S Z x d W 9 0 O 1 0 s J n F 1 b 3 Q 7 Q 2 9 s d W 1 u Q 2 9 1 b n Q m c X V v d D s 6 O C w m c X V v d D t L Z X l D b 2 x 1 b W 5 O Y W 1 l c y Z x d W 9 0 O z p b X S w m c X V v d D t D b 2 x 1 b W 5 J Z G V u d G l 0 a W V z J n F 1 b 3 Q 7 O l s m c X V v d D t T Z W N 0 a W 9 u M S 9 E Z X N p b n Z l c 3 R l c m l u Z y 9 B d X R v U m V t b 3 Z l Z E N v b H V t b n M x L n t J b m R l e C w w f S Z x d W 9 0 O y w m c X V v d D t T Z W N 0 a W 9 u M S 9 E Z X N p b n Z l c 3 R l c m l u Z y 9 B d X R v U m V t b 3 Z l Z E N v b H V t b n M x L n t B Y 3 R p d m F r b G F z c 2 U s M X 0 m c X V v d D s s J n F 1 b 3 Q 7 U 2 V j d G l v b j E v R G V z a W 5 2 Z X N 0 Z X J p b m c v Q X V 0 b 1 J l b W 9 2 Z W R D b 2 x 1 b W 5 z M S 5 7 T 2 9 y c 3 B y b 2 5 r Z W x p a m s g a W 5 2 Z X N 0 Z X J p b m d z a m F h c i w y f S Z x d W 9 0 O y w m c X V v d D t T Z W N 0 a W 9 u M S 9 E Z X N p b n Z l c 3 R l c m l u Z y 9 B d X R v U m V t b 3 Z l Z E N v b H V t b n M x L n t E Z X N p b n Z l c 3 R l c m l u Z y A o b 2 9 y c 3 B y b 2 5 r Z W x p a m t l I G l u d m V z d G V y a W 5 n c 2 J l Z H J h Z y k s M 3 0 m c X V v d D s s J n F 1 b 3 Q 7 U 2 V j d G l v b j E v R G V z a W 5 2 Z X N 0 Z X J p b m c v Q X V 0 b 1 J l b W 9 2 Z W R D b 2 x 1 b W 5 z M S 5 7 T 3 B i c m V u Z 3 N 0 Z W 4 g Z G l l I H N h b W V u a G F u Z 2 V u I G 1 l d C B k Z X N p b n Z l c 3 R l c m l u Z y w 0 f S Z x d W 9 0 O y w m c X V v d D t T Z W N 0 a W 9 u M S 9 E Z X N p b n Z l c 3 R l c m l u Z y 9 B d X R v U m V t b 3 Z l Z E N v b H V t b n M x L n t K Y W F y L D V 9 J n F 1 b 3 Q 7 L C Z x d W 9 0 O 1 N l Y 3 R p b 2 4 x L 0 R l c 2 l u d m V z d G V y a W 5 n L 0 F 1 d G 9 S Z W 1 v d m V k Q 2 9 s d W 1 u c z E u e 0 J l c 3 R h b m R z b m F h b S w 2 f S Z x d W 9 0 O y w m c X V v d D t T Z W N 0 a W 9 u M S 9 E Z X N p b n Z l c 3 R l c m l u Z y 9 B d X R v U m V t b 3 Z l Z E N v b H V t b n M x L n t W Z X J z a W U s N 3 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T 2 1 6 Z X 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A z V D E 0 O j I 5 O j I 1 L j Y 3 M j E z O D Z a I i 8 + P E V u d H J 5 I F R 5 c G U 9 I k Z p b G x D b 2 x 1 b W 5 U e X B l c y I g V m F s d W U 9 I n N C Z 1 l E Q l F V R k J R W U Q i L z 4 8 R W 5 0 c n k g V H l w Z T 0 i R m l s b E N v b H V t b k 5 h b W V z I i B W Y W x 1 Z T 0 i c 1 s m c X V v d D t D Y X R l Z 2 9 y a W U m c X V v d D s s J n F 1 b 3 Q 7 U 3 V i Y 2 F 0 Z W d v c m l l J n F 1 b 3 Q 7 L C Z x d W 9 0 O 0 p h Y X I m c X V v d D s s J n F 1 b 3 Q 7 T 2 1 6 Z X R y Z W d 1 b G V y a W 5 n I H R h c m l l Z m d l c m V n d W x l Z X J k J n F 1 b 3 Q 7 L C Z x d W 9 0 O 0 9 2 Z X J i b 2 V r L S B l b i B 0 Z X J 1 Z 2 t v b 3 B y Z W d l b G l u Z y Z x d W 9 0 O y w m c X V v d D t W Z W l s a W 5 n Z 2 V s Z G V u J n F 1 b 3 Q 7 L C Z x d W 9 0 O 1 N h b G R v I G F k b W l u a X N 0 c m F 0 a W V 2 Z S B v b m J h b G F u c y Z x d W 9 0 O y w m c X V v d D t C Z X N 0 Y W 5 k c 2 5 h Y W 0 m c X V v d D s s J n F 1 b 3 Q 7 V m V y c 2 l l J n F 1 b 3 Q 7 X S I v P j x F b n R y e S B U e X B l P S J G a W x s Z W R D b 2 1 w b G V 0 Z V J l c 3 V s d F R v V 2 9 y a 3 N o Z W V 0 I i B W Y W x 1 Z T 0 i b D E i L z 4 8 R W 5 0 c n k g V H l w Z T 0 i R m l s b F N 0 Y X R 1 c y I g V m F s d W U 9 I n N D b 2 1 w b G V 0 Z S I v P j x F b n R y e S B U e X B l P S J G a W x s V G F y Z 2 V 0 T m F t Z U N 1 c 3 R v b W l 6 Z W Q i I F Z h b H V l P S J s M S I v P j x F b n R y e S B U e X B l P S J G a W x s V G 9 E Y X R h T W 9 k Z W x F b m F i b G V k I i B W Y W x 1 Z T 0 i b D A i L z 4 8 R W 5 0 c n k g V H l w Z T 0 i S X N Q c m l 2 Y X R l I i B W Y W x 1 Z T 0 i b D A i L z 4 8 R W 5 0 c n k g V H l w Z T 0 i U X V l c n l J R C I g V m F s d W U 9 I n M 2 M D Q x Z G Q w Z S 0 3 M j k w L T Q 1 M W Y t Y T c 4 N i 1 j O W Q 3 Z m F k O D c 2 Z T E i L z 4 8 R W 5 0 c n k g V H l w Z T 0 i U m V s Y X R p b 2 5 z a G l w S W 5 m b 0 N v b n R h a W 5 l c i I g V m F s d W U 9 I n N 7 J n F 1 b 3 Q 7 Y 2 9 s d W 1 u Q 2 9 1 b n Q m c X V v d D s 6 O S w m c X V v d D t r Z X l D b 2 x 1 b W 5 O Y W 1 l c y Z x d W 9 0 O z p b X S w m c X V v d D t x d W V y e V J l b G F 0 a W 9 u c 2 h p c H M m c X V v d D s 6 W 1 0 s J n F 1 b 3 Q 7 Y 2 9 s d W 1 u S W R l b n R p d G l l c y Z x d W 9 0 O z p b J n F 1 b 3 Q 7 U 2 V j d G l v b j E v T 2 1 6 Z X Q v Q X V 0 b 1 J l b W 9 2 Z W R D b 2 x 1 b W 5 z M S 5 7 Q 2 F 0 Z W d v c m l l L D B 9 J n F 1 b 3 Q 7 L C Z x d W 9 0 O 1 N l Y 3 R p b 2 4 x L 0 9 t e m V 0 L 0 F 1 d G 9 S Z W 1 v d m V k Q 2 9 s d W 1 u c z E u e 1 N 1 Y m N h d G V n b 3 J p Z S w x f S Z x d W 9 0 O y w m c X V v d D t T Z W N 0 a W 9 u M S 9 P b X p l d C 9 B d X R v U m V t b 3 Z l Z E N v b H V t b n M x L n t K Y W F y L D J 9 J n F 1 b 3 Q 7 L C Z x d W 9 0 O 1 N l Y 3 R p b 2 4 x L 0 9 t e m V 0 L 0 F 1 d G 9 S Z W 1 v d m V k Q 2 9 s d W 1 u c z E u e 0 9 t e m V 0 c m V n d W x l c m l u Z y B 0 Y X J p Z W Z n Z X J l Z 3 V s Z W V y Z C w z f S Z x d W 9 0 O y w m c X V v d D t T Z W N 0 a W 9 u M S 9 P b X p l d C 9 B d X R v U m V t b 3 Z l Z E N v b H V t b n M x L n t P d m V y Y m 9 l a y 0 g Z W 4 g d G V y d W d r b 2 9 w c m V n Z W x p b m c s N H 0 m c X V v d D s s J n F 1 b 3 Q 7 U 2 V j d G l v b j E v T 2 1 6 Z X Q v Q X V 0 b 1 J l b W 9 2 Z W R D b 2 x 1 b W 5 z M S 5 7 V m V p b G l u Z 2 d l b G R l b i w 1 f S Z x d W 9 0 O y w m c X V v d D t T Z W N 0 a W 9 u M S 9 P b X p l d C 9 B d X R v U m V t b 3 Z l Z E N v b H V t b n M x L n t T Y W x k b y B h Z G 1 p b m l z d H J h d G l l d m U g b 2 5 i Y W x h b n M s N n 0 m c X V v d D s s J n F 1 b 3 Q 7 U 2 V j d G l v b j E v T 2 1 6 Z X Q v Q X V 0 b 1 J l b W 9 2 Z W R D b 2 x 1 b W 5 z M S 5 7 Q m V z d G F u Z H N u Y W F t L D d 9 J n F 1 b 3 Q 7 L C Z x d W 9 0 O 1 N l Y 3 R p b 2 4 x L 0 9 t e m V 0 L 0 F 1 d G 9 S Z W 1 v d m V k Q 2 9 s d W 1 u c z E u e 1 Z l c n N p Z S w 4 f S Z x d W 9 0 O 1 0 s J n F 1 b 3 Q 7 Q 2 9 s d W 1 u Q 2 9 1 b n Q m c X V v d D s 6 O S w m c X V v d D t L Z X l D b 2 x 1 b W 5 O Y W 1 l c y Z x d W 9 0 O z p b X S w m c X V v d D t D b 2 x 1 b W 5 J Z G V u d G l 0 a W V z J n F 1 b 3 Q 7 O l s m c X V v d D t T Z W N 0 a W 9 u M S 9 P b X p l d C 9 B d X R v U m V t b 3 Z l Z E N v b H V t b n M x L n t D Y X R l Z 2 9 y a W U s M H 0 m c X V v d D s s J n F 1 b 3 Q 7 U 2 V j d G l v b j E v T 2 1 6 Z X Q v Q X V 0 b 1 J l b W 9 2 Z W R D b 2 x 1 b W 5 z M S 5 7 U 3 V i Y 2 F 0 Z W d v c m l l L D F 9 J n F 1 b 3 Q 7 L C Z x d W 9 0 O 1 N l Y 3 R p b 2 4 x L 0 9 t e m V 0 L 0 F 1 d G 9 S Z W 1 v d m V k Q 2 9 s d W 1 u c z E u e 0 p h Y X I s M n 0 m c X V v d D s s J n F 1 b 3 Q 7 U 2 V j d G l v b j E v T 2 1 6 Z X Q v Q X V 0 b 1 J l b W 9 2 Z W R D b 2 x 1 b W 5 z M S 5 7 T 2 1 6 Z X R y Z W d 1 b G V y a W 5 n I H R h c m l l Z m d l c m V n d W x l Z X J k L D N 9 J n F 1 b 3 Q 7 L C Z x d W 9 0 O 1 N l Y 3 R p b 2 4 x L 0 9 t e m V 0 L 0 F 1 d G 9 S Z W 1 v d m V k Q 2 9 s d W 1 u c z E u e 0 9 2 Z X J i b 2 V r L S B l b i B 0 Z X J 1 Z 2 t v b 3 B y Z W d l b G l u Z y w 0 f S Z x d W 9 0 O y w m c X V v d D t T Z W N 0 a W 9 u M S 9 P b X p l d C 9 B d X R v U m V t b 3 Z l Z E N v b H V t b n M x L n t W Z W l s a W 5 n Z 2 V s Z G V u L D V 9 J n F 1 b 3 Q 7 L C Z x d W 9 0 O 1 N l Y 3 R p b 2 4 x L 0 9 t e m V 0 L 0 F 1 d G 9 S Z W 1 v d m V k Q 2 9 s d W 1 u c z E u e 1 N h b G R v I G F k b W l u a X N 0 c m F 0 a W V 2 Z S B v b m J h b G F u c y w 2 f S Z x d W 9 0 O y w m c X V v d D t T Z W N 0 a W 9 u M S 9 P b X p l d C 9 B d X R v U m V t b 3 Z l Z E N v b H V t b n M x L n t C Z X N 0 Y W 5 k c 2 5 h Y W 0 s N 3 0 m c X V v d D s s J n F 1 b 3 Q 7 U 2 V j d G l v b j E v T 2 1 6 Z X Q v Q X V 0 b 1 J l b W 9 2 Z W R D b 2 x 1 b W 5 z M S 5 7 V m V y c 2 l l L D h 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w v U 3 R h Y m x l R W 5 0 c m l l c z 4 8 L 0 l 0 Z W 0 + P E l 0 Z W 0 + P E l 0 Z W 1 M b 2 N h d G l v b j 4 8 S X R l b V R 5 c G U + R m 9 y b X V s Y T w v S X R l b V R 5 c G U + P E l 0 Z W 1 Q Y X R o P l N l Y 3 R p b 2 4 x L 1 d V S S U y R k 9 t Y m 9 1 d 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U t M T R U M D g 6 M z Q 6 N T I u N D c 4 M j Q x O V o i L z 4 8 R W 5 0 c n k g V H l w Z T 0 i R m l s b E N v b H V t b l R 5 c G V z I i B W Y W x 1 Z T 0 i c 0 F 3 V U Z C Z 1 l H Q m c 9 P S I v P j x F b n R y e S B U e X B l P S J G a W x s Q 2 9 s d W 1 u T m F t Z X M i I F Z h b H V l P S J z W y Z x d W 9 0 O 0 l u Z G V 4 J n F 1 b 3 Q 7 L C Z x d W 9 0 O 0 l u d m V z d G V y a W 5 n c 2 J l Z H J h Z y Z x d W 9 0 O y w m c X V v d D t K Y W F y I G J l Z 2 l u I G F m c 2 N o c m l q d m V u J n F 1 b 3 Q 7 L C Z x d W 9 0 O 0 F j d G l 2 Y W N h d G V n b 3 J p Z S Z x d W 9 0 O y w m c X V v d D t W Z X J 2 Y W 5 n a W 5 n I C 8 g d W l 0 Y n J l a W R p b m c m c X V v d D s s J n F 1 b 3 Q 7 T 2 1 i b 3 V 3 d G F h a y Z x d W 9 0 O y w m c X V v d D t C Z X N 0 Y W 5 k c 2 5 h Y W 0 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E 5 Y 2 N l N z c z L T A z N 2 M t N G Z l M y 0 5 M j k 0 L W M 0 Y z U 5 M T Y 0 Z D g z M C I v P j x F b n R y e S B U e X B l P S J S Z W x h d G l v b n N o a X B J b m Z v Q 2 9 u d G F p b m V y I i B W Y W x 1 Z T 0 i c 3 s m c X V v d D t j b 2 x 1 b W 5 D b 3 V u d C Z x d W 9 0 O z o 3 L C Z x d W 9 0 O 2 t l e U N v b H V t b k 5 h b W V z J n F 1 b 3 Q 7 O l t d L C Z x d W 9 0 O 3 F 1 Z X J 5 U m V s Y X R p b 2 5 z a G l w c y Z x d W 9 0 O z p b X S w m c X V v d D t j 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Q 2 9 s d W 1 u Q 2 9 1 b n Q m c X V v d D s 6 N y w m c X V v d D t L Z X l D b 2 x 1 b W 5 O Y W 1 l c y Z x d W 9 0 O z p b X S w m c X V v d D t D 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P c G V y Y X R p b 2 5 l b G U l M j B r b 3 N 0 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A z V D E 0 O j M 0 O j E 4 L j I x N j U 5 M j N a I i 8 + P E V u d H J 5 I F R 5 c G U 9 I k Z p b G x D b 2 x 1 b W 5 U e X B l c y I g V m F s d W U 9 I n N C Z 1 l E Q l F V R 0 F 3 P T 0 i L z 4 8 R W 5 0 c n k g V H l w Z T 0 i R m l s b E N v b H V t b k 5 h b W V z I i B W Y W x 1 Z T 0 i c 1 s m c X V v d D t D Y X R l Z 2 9 y a W U m c X V v d D s s J n F 1 b 3 Q 7 U 3 V i Y 2 F 0 Z W d v c m l l J n F 1 b 3 Q 7 L C Z x d W 9 0 O 0 p h Y X I m c X V v d D s s J n F 1 b 3 Q 7 V F Q v Q l Q v Q V Q m c X V v d D s s J n F 1 b 3 Q 7 S 0 M m c X V v d D s s J n F 1 b 3 Q 7 Q m V z d G F u Z H N u Y W F t J n F 1 b 3 Q 7 L C Z x d W 9 0 O 1 Z l c n N p Z S Z x d W 9 0 O 1 0 i L z 4 8 R W 5 0 c n k g V H l w Z T 0 i R m l s b G V k Q 2 9 t c G x l d G V S Z X N 1 b H R U b 1 d v c m t z a G V l d C I g V m F s d W U 9 I m w x I i 8 + P E V u d H J 5 I F R 5 c G U 9 I k Z p b G x T d G F 0 d X M i I F Z h b H V l P S J z Q 2 9 t c G x l d G U i L z 4 8 R W 5 0 c n k g V H l w Z T 0 i R m l s b F R h c m d l d E 5 h b W V D d X N 0 b 2 1 p e m V k I i B W Y W x 1 Z T 0 i b D E i L z 4 8 R W 5 0 c n k g V H l w Z T 0 i R m l s b F R v R G F 0 Y U 1 v Z G V s R W 5 h Y m x l Z C I g V m F s d W U 9 I m w w I i 8 + P E V u d H J 5 I F R 5 c G U 9 I k l z U H J p d m F 0 Z S I g V m F s d W U 9 I m w w I i 8 + P E V u d H J 5 I F R 5 c G U 9 I l F 1 Z X J 5 S U Q i I F Z h b H V l P S J z N D E x Z G Z k O G E t M m I 5 O C 0 0 N z l k L T k y N D I t M j R k O D A x M T M 5 Z j E z I i 8 + P E V u d H J 5 I F R 5 c G U 9 I l J l b G F 0 a W 9 u c 2 h p c E l u Z m 9 D b 2 5 0 Y W l u Z X I i I F Z h b H V l P S J z e y Z x d W 9 0 O 2 N v b H V t b k N v d W 5 0 J n F 1 b 3 Q 7 O j c s J n F 1 b 3 Q 7 a 2 V 5 Q 2 9 s d W 1 u T m F t Z X M m c X V v d D s 6 W 1 0 s J n F 1 b 3 Q 7 c X V l c n l S Z W x h d G l v b n N o a X B z J n F 1 b 3 Q 7 O l t d L C Z x d W 9 0 O 2 N v b H V t b k l k Z W 5 0 a X R p Z X M m c X V v d D s 6 W y Z x d W 9 0 O 1 N l Y 3 R p b 2 4 x L 0 9 w Z X J h d G l v b m V s Z S B r b 3 N 0 Z W 4 v Q X V 0 b 1 J l b W 9 2 Z W R D b 2 x 1 b W 5 z M S 5 7 Q 2 F 0 Z W d v c m l l L D B 9 J n F 1 b 3 Q 7 L C Z x d W 9 0 O 1 N l Y 3 R p b 2 4 x L 0 9 w Z X J h d G l v b m V s Z S B r b 3 N 0 Z W 4 v Q X V 0 b 1 J l b W 9 2 Z W R D b 2 x 1 b W 5 z M S 5 7 U 3 V i Y 2 F 0 Z W d v c m l l L D F 9 J n F 1 b 3 Q 7 L C Z x d W 9 0 O 1 N l Y 3 R p b 2 4 x L 0 9 w Z X J h d G l v b m V s Z S B r b 3 N 0 Z W 4 v Q X V 0 b 1 J l b W 9 2 Z W R D b 2 x 1 b W 5 z M S 5 7 S m F h c i w y f S Z x d W 9 0 O y w m c X V v d D t T Z W N 0 a W 9 u M S 9 P c G V y Y X R p b 2 5 l b G U g a 2 9 z d G V u L 0 F 1 d G 9 S Z W 1 v d m V k Q 2 9 s d W 1 u c z E u e 1 R U L 0 J U L 0 F U L D N 9 J n F 1 b 3 Q 7 L C Z x d W 9 0 O 1 N l Y 3 R p b 2 4 x L 0 9 w Z X J h d G l v b m V s Z S B r b 3 N 0 Z W 4 v Q X V 0 b 1 J l b W 9 2 Z W R D b 2 x 1 b W 5 z M S 5 7 S 0 M s N H 0 m c X V v d D s s J n F 1 b 3 Q 7 U 2 V j d G l v b j E v T 3 B l c m F 0 a W 9 u Z W x l I G t v c 3 R l b i 9 B d X R v U m V t b 3 Z l Z E N v b H V t b n M x L n t C Z X N 0 Y W 5 k c 2 5 h Y W 0 s N X 0 m c X V v d D s s J n F 1 b 3 Q 7 U 2 V j d G l v b j E v T 3 B l c m F 0 a W 9 u Z W x l I G t v c 3 R l b i 9 B d X R v U m V t b 3 Z l Z E N v b H V t b n M x L n t W Z X J z a W U s N n 0 m c X V v d D t d L C Z x d W 9 0 O 0 N v b H V t b k N v d W 5 0 J n F 1 b 3 Q 7 O j c s J n F 1 b 3 Q 7 S 2 V 5 Q 2 9 s d W 1 u T m F t Z X M m c X V v d D s 6 W 1 0 s J n F 1 b 3 Q 7 Q 2 9 s d W 1 u S W R l b n R p d G l l c y Z x d W 9 0 O z p b J n F 1 b 3 Q 7 U 2 V j d G l v b j E v T 3 B l c m F 0 a W 9 u Z W x l I G t v c 3 R l b i 9 B d X R v U m V t b 3 Z l Z E N v b H V t b n M x L n t D Y X R l Z 2 9 y a W U s M H 0 m c X V v d D s s J n F 1 b 3 Q 7 U 2 V j d G l v b j E v T 3 B l c m F 0 a W 9 u Z W x l I G t v c 3 R l b i 9 B d X R v U m V t b 3 Z l Z E N v b H V t b n M x L n t T d W J j Y X R l Z 2 9 y a W U s M X 0 m c X V v d D s s J n F 1 b 3 Q 7 U 2 V j d G l v b j E v T 3 B l c m F 0 a W 9 u Z W x l I G t v c 3 R l b i 9 B d X R v U m V t b 3 Z l Z E N v b H V t b n M x L n t K Y W F y L D J 9 J n F 1 b 3 Q 7 L C Z x d W 9 0 O 1 N l Y 3 R p b 2 4 x L 0 9 w Z X J h d G l v b m V s Z S B r b 3 N 0 Z W 4 v Q X V 0 b 1 J l b W 9 2 Z W R D b 2 x 1 b W 5 z M S 5 7 V F Q v Q l Q v Q V Q s M 3 0 m c X V v d D s s J n F 1 b 3 Q 7 U 2 V j d G l v b j E v T 3 B l c m F 0 a W 9 u Z W x l I G t v c 3 R l b i 9 B d X R v U m V t b 3 Z l Z E N v b H V t b n M x L n t L Q y w 0 f S Z x d W 9 0 O y w m c X V v d D t T Z W N 0 a W 9 u M S 9 P c G V y Y X R p b 2 5 l b G U g a 2 9 z d G V u L 0 F 1 d G 9 S Z W 1 v d m V k Q 2 9 s d W 1 u c z E u e 0 J l c 3 R h b m R z b m F h b S w 1 f S Z x d W 9 0 O y w m c X V v d D t T Z W N 0 a W 9 u M S 9 P c G V y Y X R p b 2 5 l b G U g a 2 9 z d G V u L 0 F 1 d G 9 S Z W 1 v d m V k Q 2 9 s d W 1 u c z E u e 1 Z l c n N p Z S w 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Z l c 3 R l c m l u Z 2 V u L 0 J y b 2 4 8 L 0 l 0 Z W 1 Q Y X R o P j w v S X R l b U x v Y 2 F 0 a W 9 u P j x T d G F i b G V F b n R y a W V z L z 4 8 L 0 l 0 Z W 0 + P E l 0 Z W 0 + P E l 0 Z W 1 M b 2 N h d G l v b j 4 8 S X R l b V R 5 c G U + R m 9 y b X V s Y T w v S X R l b V R 5 c G U + P E l 0 Z W 1 Q Y X R o P l N l Y 3 R p b 2 4 x L 0 l u d m V z d G V y a W 5 n Z W 4 v U k R f T E 5 C X 0 c 8 L 0 l 0 Z W 1 Q Y X R o P j w v S X R l b U x v Y 2 F 0 a W 9 u P j x T d G F i b G V F b n R y a W V z L z 4 8 L 0 l 0 Z W 0 + P E l 0 Z W 0 + P E l 0 Z W 1 M b 2 N h d G l v b j 4 8 S X R l b V R 5 c G U + R m 9 y b X V s Y T w v S X R l b V R 5 c G U + P E l 0 Z W 1 Q Y X R o P l N l Y 3 R p b 2 4 x L 0 l u d m V z d G V y a W 5 n Z W 4 v Z G J v X 0 l u d m V z d G V y a W 5 n Z W 4 8 L 0 l 0 Z W 1 Q Y X R o P j w v S X R l b U x v Y 2 F 0 a W 9 u P j x T d G F i b G V F b n R y a W V z L z 4 8 L 0 l 0 Z W 0 + P E l 0 Z W 0 + P E l 0 Z W 1 M b 2 N h d G l v b j 4 8 S X R l b V R 5 c G U + R m 9 y b X V s Y T w v S X R l b V R 5 c G U + P E l 0 Z W 1 Q Y X R o P l N l Y 3 R p b 2 4 x L 0 l u d m V z d G V y a W 5 n Z W 4 v S m F h c i U z R S U z R D I w M j A 8 L 0 l 0 Z W 1 Q Y X R o P j w v S X R l b U x v Y 2 F 0 a W 9 u P j x T d G F i b G V F b n R y a W V z L z 4 8 L 0 l 0 Z W 0 + P E l 0 Z W 0 + P E l 0 Z W 1 M b 2 N h d G l v b j 4 8 S X R l b V R 5 c G U + R m 9 y b X V s Y T w v S X R l b V R 5 c G U + P E l 0 Z W 1 Q Y X R o P l N l Y 3 R p b 2 4 x L 0 l u d m V z d G V y a W 5 n Z W 4 v U m l q Z W 4 l M j B n Z W d y b 2 V w Z W V y Z D w v S X R l b V B h d G g + P C 9 J d G V t T G 9 j Y X R p b 2 4 + P F N 0 Y W J s Z U V u d H J p Z X M v P j w v S X R l b T 4 8 S X R l b T 4 8 S X R l b U x v Y 2 F 0 a W 9 u P j x J d G V t V H l w Z T 5 G b 3 J t d W x h P C 9 J d G V t V H l w Z T 4 8 S X R l b V B h d G g + U 2 V j d G l v b j E v S W 5 2 Z X N 0 Z X J p b m d l b i 9 S a W p l b i U y M G d l c 2 9 y d G V l c m Q 8 L 0 l 0 Z W 1 Q Y X R o P j w v S X R l b U x v Y 2 F 0 a W 9 u P j x T d G F i b G V F b n R y a W V z L z 4 8 L 0 l 0 Z W 0 + P E l 0 Z W 0 + P E l 0 Z W 1 M b 2 N h d G l v b j 4 8 S X R l b V R 5 c G U + R m 9 y b X V s Y T w v S X R l b V R 5 c G U + P E l 0 Z W 1 Q Y X R o P l N l Y 3 R p b 2 4 x L 0 l u d m V z d G V y a W 5 n Z W 4 v S W 5 k Z X g l M j B 0 b 2 V n Z X Z v Z W d k P C 9 J d G V t U G F 0 a D 4 8 L 0 l 0 Z W 1 M b 2 N h d G l v b j 4 8 U 3 R h Y m x l R W 5 0 c m l l c y 8 + P C 9 J d G V t P j x J d G V t P j x J d G V t T G 9 j Y X R p b 2 4 + P E l 0 Z W 1 U e X B l P k Z v c m 1 1 b G E 8 L 0 l 0 Z W 1 U e X B l P j x J d G V t U G F 0 a D 5 T Z W N 0 a W 9 u M S 9 J b n Z l c 3 R l c m l u Z 2 V u L 1 Z v b G d v c m R l J T I w d m F u J T I w a 2 9 s b 2 1 t Z W 4 l M j B n Z X d p a n p p Z 2 Q 8 L 0 l 0 Z W 1 Q Y X R o P j w v S X R l b U x v Y 2 F 0 a W 9 u P j x T d G F i b G V F b n R y a W V z L z 4 8 L 0 l 0 Z W 0 + P E l 0 Z W 0 + P E l 0 Z W 1 M b 2 N h d G l v b j 4 8 S X R l b V R 5 c G U + R m 9 y b X V s Y T w v S X R l b V R 5 c G U + P E l 0 Z W 1 Q Y X R o P l N l Y 3 R p b 2 4 x L 0 R l c 2 l u d m V z d G V y a W 5 n L 0 J y b 2 4 8 L 0 l 0 Z W 1 Q Y X R o P j w v S X R l b U x v Y 2 F 0 a W 9 u P j x T d G F i b G V F b n R y a W V z L z 4 8 L 0 l 0 Z W 0 + P E l 0 Z W 0 + P E l 0 Z W 1 M b 2 N h d G l v b j 4 8 S X R l b V R 5 c G U + R m 9 y b X V s Y T w v S X R l b V R 5 c G U + P E l 0 Z W 1 Q Y X R o P l N l Y 3 R p b 2 4 x L 0 R l c 2 l u d m V z d G V y a W 5 n L 1 J E X 0 x O Q l 9 H P C 9 J d G V t U G F 0 a D 4 8 L 0 l 0 Z W 1 M b 2 N h d G l v b j 4 8 U 3 R h Y m x l R W 5 0 c m l l c y 8 + P C 9 J d G V t P j x J d G V t P j x J d G V t T G 9 j Y X R p b 2 4 + P E l 0 Z W 1 U e X B l P k Z v c m 1 1 b G E 8 L 0 l 0 Z W 1 U e X B l P j x J d G V t U G F 0 a D 5 T Z W N 0 a W 9 u M S 9 E Z X N p b n Z l c 3 R l c m l u Z y 9 k Y m 9 f S W 5 2 Z X N 0 Z X J p b m d l b j w v S X R l b V B h d G g + P C 9 J d G V t T G 9 j Y X R p b 2 4 + P F N 0 Y W J s Z U V u d H J p Z X M v P j w v S X R l b T 4 8 S X R l b T 4 8 S X R l b U x v Y 2 F 0 a W 9 u P j x J d G V t V H l w Z T 5 G b 3 J t d W x h P C 9 J d G V t V H l w Z T 4 8 S X R l b V B h d G g + U 2 V j d G l v b j E v R G V z a W 5 2 Z X N 0 Z X J p b m c v U m l q Z W 4 l M j B n Z W Z p b H R l c m Q 8 L 0 l 0 Z W 1 Q Y X R o P j w v S X R l b U x v Y 2 F 0 a W 9 u P j x T d G F i b G V F b n R y a W V z L z 4 8 L 0 l 0 Z W 0 + P E l 0 Z W 0 + P E l 0 Z W 1 M b 2 N h d G l v b j 4 8 S X R l b V R 5 c G U + R m 9 y b X V s Y T w v S X R l b V R 5 c G U + P E l 0 Z W 1 Q Y X R o P l N l Y 3 R p b 2 4 x L 0 R l c 2 l u d m V z d G V y a W 5 n L 1 J p a m V u J T I w Z 2 V z b 3 J 0 Z W V y Z D w v S X R l b V B h d G g + P C 9 J d G V t T G 9 j Y X R p b 2 4 + P F N 0 Y W J s Z U V u d H J p Z X M v P j w v S X R l b T 4 8 S X R l b T 4 8 S X R l b U x v Y 2 F 0 a W 9 u P j x J d G V t V H l w Z T 5 G b 3 J t d W x h P C 9 J d G V t V H l w Z T 4 8 S X R l b V B h d G g + U 2 V j d G l v b j E v R G V z a W 5 2 Z X N 0 Z X J p b m c v S 2 9 s b 2 1 t Z W 4 l M j B 2 Z X J 3 a W p k Z X J k P C 9 J d G V t U G F 0 a D 4 8 L 0 l 0 Z W 1 M b 2 N h d G l v b j 4 8 U 3 R h Y m x l R W 5 0 c m l l c y 8 + P C 9 J d G V t P j x J d G V t P j x J d G V t T G 9 j Y X R p b 2 4 + P E l 0 Z W 1 U e X B l P k Z v c m 1 1 b G E 8 L 0 l 0 Z W 1 U e X B l P j x J d G V t U G F 0 a D 5 T Z W N 0 a W 9 u M S 9 E Z X N p b n Z l c 3 R l c m l u Z y 9 J b m R l e C U y M H R v Z W d l d m 9 l Z 2 Q 8 L 0 l 0 Z W 1 Q Y X R o P j w v S X R l b U x v Y 2 F 0 a W 9 u P j x T d G F i b G V F b n R y a W V z L z 4 8 L 0 l 0 Z W 0 + P E l 0 Z W 0 + P E l 0 Z W 1 M b 2 N h d G l v b j 4 8 S X R l b V R 5 c G U + R m 9 y b X V s Y T w v S X R l b V R 5 c G U + P E l 0 Z W 1 Q Y X R o P l N l Y 3 R p b 2 4 x L 0 R l c 2 l u d m V z d G V y a W 5 n L 1 Z v b G d v c m R l J T I w d m F u J T I w a 2 9 s b 2 1 t Z W 4 l M j B n Z X d p a n p p Z 2 Q 8 L 0 l 0 Z W 1 Q Y X R o P j w v S X R l b U x v Y 2 F 0 a W 9 u P j x T d G F i b G V F b n R y a W V z L z 4 8 L 0 l 0 Z W 0 + P E l 0 Z W 0 + P E l 0 Z W 1 M b 2 N h d G l v b j 4 8 S X R l b V R 5 c G U + R m 9 y b X V s Y T w v S X R l b V R 5 c G U + P E l 0 Z W 1 Q Y X R o P l N l Y 3 R p b 2 4 x L 0 R l c 2 l u d m V z d G V y a W 5 n L 0 t v b G 9 t b W V u J T I w d m V y d 2 l q Z G V y Z D E 8 L 0 l 0 Z W 1 Q Y X R o P j w v S X R l b U x v Y 2 F 0 a W 9 u P j x T d G F i b G V F b n R y a W V z L z 4 8 L 0 l 0 Z W 0 + P E l 0 Z W 0 + P E l 0 Z W 1 M b 2 N h d G l v b j 4 8 S X R l b V R 5 c G U + R m 9 y b X V s Y T w v S X R l b V R 5 c G U + P E l 0 Z W 1 Q Y X R o P l N l Y 3 R p b 2 4 x L 0 R l c 2 l u d m V z d G V y a W 5 n L 1 Z v b G d v c m R l J T I w d m F u J T I w a 2 9 s b 2 1 t Z W 4 l M j B n Z X d p a n p p Z 2 Q x P C 9 J d G V t U G F 0 a D 4 8 L 0 l 0 Z W 1 M b 2 N h d G l v b j 4 8 U 3 R h Y m x l R W 5 0 c m l l c y 8 + P C 9 J d G V t P j x J d G V t P j x J d G V t T G 9 j Y X R p b 2 4 + P E l 0 Z W 1 U e X B l P k Z v c m 1 1 b G E 8 L 0 l 0 Z W 1 U e X B l P j x J d G V t U G F 0 a D 5 T Z W N 0 a W 9 u M S 9 P b X p l d C 9 C c m 9 u P C 9 J d G V t U G F 0 a D 4 8 L 0 l 0 Z W 1 M b 2 N h d G l v b j 4 8 U 3 R h Y m x l R W 5 0 c m l l c y 8 + P C 9 J d G V t P j x J d G V t P j x J d G V t T G 9 j Y X R p b 2 4 + P E l 0 Z W 1 U e X B l P k Z v c m 1 1 b G E 8 L 0 l 0 Z W 1 U e X B l P j x J d G V t U G F 0 a D 5 T Z W N 0 a W 9 u M S 9 P b X p l d C 9 k Y m 9 f R G V z a W 5 2 Z X N 0 Z X J p b m d l b j w v S X R l b V B h d G g + P C 9 J d G V t T G 9 j Y X R p b 2 4 + P F N 0 Y W J s Z U V u d H J p Z X M v P j w v S X R l b T 4 8 S X R l b T 4 8 S X R l b U x v Y 2 F 0 a W 9 u P j x J d G V t V H l w Z T 5 G b 3 J t d W x h P C 9 J d G V t V H l w Z T 4 8 S X R l b V B h d G g + U 2 V j d G l v b j E v T 2 1 6 Z X Q v U m l q Z W 4 l M j B n Z W Z p b H R l c m Q 8 L 0 l 0 Z W 1 Q Y X R o P j w v S X R l b U x v Y 2 F 0 a W 9 u P j x T d G F i b G V F b n R y a W V z L z 4 8 L 0 l 0 Z W 0 + P E l 0 Z W 0 + P E l 0 Z W 1 M b 2 N h d G l v b j 4 8 S X R l b V R 5 c G U + R m 9 y b X V s Y T w v S X R l b V R 5 c G U + P E l 0 Z W 1 Q Y X R o P l N l Y 3 R p b 2 4 x L 0 9 t e m V 0 L 0 t v b G 9 t b W V u J T I w d m V y d 2 l q Z G V y Z D w v S X R l b V B h d G g + P C 9 J d G V t T G 9 j Y X R p b 2 4 + P F N 0 Y W J s Z U V u d H J p Z X M v P j w v S X R l b T 4 8 S X R l b T 4 8 S X R l b U x v Y 2 F 0 a W 9 u P j x J d G V t V H l w Z T 5 G b 3 J t d W x h P C 9 J d G V t V H l w Z T 4 8 S X R l b V B h d G g + U 2 V j d G l v b j E v T 2 1 6 Z X Q v U m l q Z W 4 l M j B n Z W Z p b H R l c m Q x P C 9 J d G V t U G F 0 a D 4 8 L 0 l 0 Z W 1 M b 2 N h d G l v b j 4 8 U 3 R h Y m x l R W 5 0 c m l l c y 8 + P C 9 J d G V t P j x J d G V t P j x J d G V t T G 9 j Y X R p b 2 4 + P E l 0 Z W 1 U e X B l P k Z v c m 1 1 b G E 8 L 0 l 0 Z W 1 U e X B l P j x J d G V t U G F 0 a D 5 T Z W N 0 a W 9 u M S 9 P b X p l d C 9 L b 2 x v b W 1 l b i U y M H Z l c n d p a m R l c m Q x P C 9 J d G V t U G F 0 a D 4 8 L 0 l 0 Z W 1 M b 2 N h d G l v b j 4 8 U 3 R h Y m x l R W 5 0 c m l l c y 8 + P C 9 J d G V t P j x J d G V t P j x J d G V t T G 9 j Y X R p b 2 4 + P E l 0 Z W 1 U e X B l P k Z v c m 1 1 b G E 8 L 0 l 0 Z W 1 U e X B l P j x J d G V t U G F 0 a D 5 T Z W N 0 a W 9 u M S 9 X V U k l M k Z P b W J v d X c v Q n J v b j w v S X R l b V B h d G g + P C 9 J d G V t T G 9 j Y X R p b 2 4 + P F N 0 Y W J s Z U V u d H J p Z X M v P j w v S X R l b T 4 8 S X R l b T 4 8 S X R l b U x v Y 2 F 0 a W 9 u P j x J d G V t V H l w Z T 5 G b 3 J t d W x h P C 9 J d G V t V H l w Z T 4 8 S X R l b V B h d G g + U 2 V j d G l v b j E v V 1 V J J T J G T 2 1 i b 3 V 3 L 1 J E X 0 x O Q l 9 H P C 9 J d G V t U G F 0 a D 4 8 L 0 l 0 Z W 1 M b 2 N h d G l v b j 4 8 U 3 R h Y m x l R W 5 0 c m l l c y 8 + P C 9 J d G V t P j x J d G V t P j x J d G V t T G 9 j Y X R p b 2 4 + P E l 0 Z W 1 U e X B l P k Z v c m 1 1 b G E 8 L 0 l 0 Z W 1 U e X B l P j x J d G V t U G F 0 a D 5 T Z W N 0 a W 9 u M S 9 X V U k l M k Z P b W J v d X c v Z G J v X 0 l u d m V z d G V y a W 5 n Z W 4 8 L 0 l 0 Z W 1 Q Y X R o P j w v S X R l b U x v Y 2 F 0 a W 9 u P j x T d G F i b G V F b n R y a W V z L z 4 8 L 0 l 0 Z W 0 + P E l 0 Z W 0 + P E l 0 Z W 1 M b 2 N h d G l v b j 4 8 S X R l b V R 5 c G U + R m 9 y b X V s Y T w v S X R l b V R 5 c G U + P E l 0 Z W 1 Q Y X R o P l N l Y 3 R p b 2 4 x L 1 d V S S U y R k 9 t Y m 9 1 d y 9 K Y W F y J T N F J T N E M j A y M D w v S X R l b V B h d G g + P C 9 J d G V t T G 9 j Y X R p b 2 4 + P F N 0 Y W J s Z U V u d H J p Z X M v P j w v S X R l b T 4 8 S X R l b T 4 8 S X R l b U x v Y 2 F 0 a W 9 u P j x J d G V t V H l w Z T 5 G b 3 J t d W x h P C 9 J d G V t V H l w Z T 4 8 S X R l b V B h d G g + U 2 V j d G l v b j E v V 1 V J J T J G T 2 1 i b 3 V 3 L 1 J p a m V u J T I w Z 2 V m a W x 0 Z X J k P C 9 J d G V t U G F 0 a D 4 8 L 0 l 0 Z W 1 M b 2 N h d G l v b j 4 8 U 3 R h Y m x l R W 5 0 c m l l c y 8 + P C 9 J d G V t P j x J d G V t P j x J d G V t T G 9 j Y X R p b 2 4 + P E l 0 Z W 1 U e X B l P k Z v c m 1 1 b G E 8 L 0 l 0 Z W 1 U e X B l P j x J d G V t U G F 0 a D 5 T Z W N 0 a W 9 u M S 9 X V U k l M k Z P b W J v d X c v U m l q Z W 4 l M j B n Z W Z p b H R l c m Q x P C 9 J d G V t U G F 0 a D 4 8 L 0 l 0 Z W 1 M b 2 N h d G l v b j 4 8 U 3 R h Y m x l R W 5 0 c m l l c y 8 + P C 9 J d G V t P j x J d G V t P j x J d G V t T G 9 j Y X R p b 2 4 + P E l 0 Z W 1 U e X B l P k Z v c m 1 1 b G E 8 L 0 l 0 Z W 1 U e X B l P j x J d G V t U G F 0 a D 5 T Z W N 0 a W 9 u M S 9 X V U k l M k Z P b W J v d X c v S W 5 k Z X g l M j B 0 b 2 V n Z X Z v Z W d k P C 9 J d G V t U G F 0 a D 4 8 L 0 l 0 Z W 1 M b 2 N h d G l v b j 4 8 U 3 R h Y m x l R W 5 0 c m l l c y 8 + P C 9 J d G V t P j x J d G V t P j x J d G V t T G 9 j Y X R p b 2 4 + P E l 0 Z W 1 U e X B l P k Z v c m 1 1 b G E 8 L 0 l 0 Z W 1 U e X B l P j x J d G V t U G F 0 a D 5 T Z W N 0 a W 9 u M S 9 X V U k l M k Z P b W J v d X c v V m 9 s Z 2 9 y Z G U l M j B 2 Y W 4 l M j B r b 2 x v b W 1 l b i U y M G d l d 2 l q e m l n Z D w v S X R l b V B h d G g + P C 9 J d G V t T G 9 j Y X R p b 2 4 + P F N 0 Y W J s Z U V u d H J p Z X M v P j w v S X R l b T 4 8 S X R l b T 4 8 S X R l b U x v Y 2 F 0 a W 9 u P j x J d G V t V H l w Z T 5 G b 3 J t d W x h P C 9 J d G V t V H l w Z T 4 8 S X R l b V B h d G g + U 2 V j d G l v b j E v V 1 V J J T J G T 2 1 i b 3 V 3 L 0 t v b G 9 t b W V u J T I w d m V y d 2 l q Z G V y Z D w v S X R l b V B h d G g + P C 9 J d G V t T G 9 j Y X R p b 2 4 + P F N 0 Y W J s Z U V u d H J p Z X M v P j w v S X R l b T 4 8 S X R l b T 4 8 S X R l b U x v Y 2 F 0 a W 9 u P j x J d G V t V H l w Z T 5 G b 3 J t d W x h P C 9 J d G V t V H l w Z T 4 8 S X R l b V B h d G g + U 2 V j d G l v b j E v T 3 B l c m F 0 a W 9 u Z W x l J T I w a 2 9 z d G V u L 0 J y b 2 4 8 L 0 l 0 Z W 1 Q Y X R o P j w v S X R l b U x v Y 2 F 0 a W 9 u P j x T d G F i b G V F b n R y a W V z L z 4 8 L 0 l 0 Z W 0 + P E l 0 Z W 0 + P E l 0 Z W 1 M b 2 N h d G l v b j 4 8 S X R l b V R 5 c G U + R m 9 y b X V s Y T w v S X R l b V R 5 c G U + P E l 0 Z W 1 Q Y X R o P l N l Y 3 R p b 2 4 x L 0 9 w Z X J h d G l v b m V s Z S U y M G t v c 3 R l b i 9 S R F 9 M T k J f R z w v S X R l b V B h d G g + P C 9 J d G V t T G 9 j Y X R p b 2 4 + P F N 0 Y W J s Z U V u d H J p Z X M v P j w v S X R l b T 4 8 S X R l b T 4 8 S X R l b U x v Y 2 F 0 a W 9 u P j x J d G V t V H l w Z T 5 G b 3 J t d W x h P C 9 J d G V t V H l w Z T 4 8 S X R l b V B h d G g + U 2 V j d G l v b j E v T 3 B l c m F 0 a W 9 u Z W x l J T I w a 2 9 z d G V u L 2 R i b 1 9 P c G V y Y X R p b 2 5 l b G U l M j B r b 3 N 0 Z W 4 8 L 0 l 0 Z W 1 Q Y X R o P j w v S X R l b U x v Y 2 F 0 a W 9 u P j x T d G F i b G V F b n R y a W V z L z 4 8 L 0 l 0 Z W 0 + P E l 0 Z W 0 + P E l 0 Z W 1 M b 2 N h d G l v b j 4 8 S X R l b V R 5 c G U + R m 9 y b X V s Y T w v S X R l b V R 5 c G U + P E l 0 Z W 1 Q Y X R o P l N l Y 3 R p b 2 4 x L 0 9 w Z X J h d G l v b m V s Z S U y M G t v c 3 R l b i 9 L b 2 x v b W 1 l b i U y M H Z l c n d p a m R l c m Q 8 L 0 l 0 Z W 1 Q Y X R o P j w v S X R l b U x v Y 2 F 0 a W 9 u P j x T d G F i b G V F b n R y a W V z L z 4 8 L 0 l 0 Z W 0 + P E l 0 Z W 0 + P E l 0 Z W 1 M b 2 N h d G l v b j 4 8 S X R l b V R 5 c G U + R m 9 y b X V s Y T w v S X R l b V R 5 c G U + P E l 0 Z W 1 Q Y X R o P l N l Y 3 R p b 2 4 x L 0 l u d m V z d G V y a W 5 n Z W 4 v Q W F u Z 2 V w Y X N 0 M T w v S X R l b V B h d G g + P C 9 J d G V t T G 9 j Y X R p b 2 4 + P F N 0 Y W J s Z U V u d H J p Z X M v P j w v S X R l b T 4 8 S X R l b T 4 8 S X R l b U x v Y 2 F 0 a W 9 u P j x J d G V t V H l w Z T 5 G b 3 J t d W x h P C 9 J d G V t V H l w Z T 4 8 S X R l b V B h d G g + U 2 V j d G l v b j E v S W 5 2 Z X N 0 Z X J p b m d l b i 9 B Y W 5 n Z X B h c 3 Q y P C 9 J d G V t U G F 0 a D 4 8 L 0 l 0 Z W 1 M b 2 N h d G l v b j 4 8 U 3 R h Y m x l R W 5 0 c m l l c y 8 + P C 9 J d G V t P j x J d G V t P j x J d G V t T G 9 j Y X R p b 2 4 + P E l 0 Z W 1 U e X B l P k Z v c m 1 1 b G E 8 L 0 l 0 Z W 1 U e X B l P j x J d G V t U G F 0 a D 5 T Z W N 0 a W 9 u M S 9 P c G V y Y X R p b 2 5 l b G U l M j B r b 3 N 0 Z W 4 v U m l q Z W 4 l M j B n Z W Z p b H R l c m Q 8 L 0 l 0 Z W 1 Q Y X R o P j w v S X R l b U x v Y 2 F 0 a W 9 u P j x T d G F i b G V F b n R y a W V z L z 4 8 L 0 l 0 Z W 0 + P E l 0 Z W 0 + P E l 0 Z W 1 M b 2 N h d G l v b j 4 8 S X R l b V R 5 c G U + R m 9 y b X V s Y T w v S X R l b V R 5 c G U + P E l 0 Z W 1 Q Y X R o P l N l Y 3 R p b 2 4 x L 0 l u d m V z d G V y a W 5 n Z W 4 v Q W F u Z 2 V w Y X N 0 M z w v S X R l b V B h d G g + P C 9 J d G V t T G 9 j Y X R p b 2 4 + P F N 0 Y W J s Z U V u d H J p Z X M v P j w v S X R l b T 4 8 S X R l b T 4 8 S X R l b U x v Y 2 F 0 a W 9 u P j x J d G V t V H l w Z T 5 G b 3 J t d W x h P C 9 J d G V t V H l w Z T 4 8 S X R l b V B h d G g + U 2 V j d G l v b j E v V 1 V J J T J G T 2 1 i b 3 V 3 L 0 F h b m d l c G F z d D E 8 L 0 l 0 Z W 1 Q Y X R o P j w v S X R l b U x v Y 2 F 0 a W 9 u P j x T d G F i b G V F b n R y a W V z L z 4 8 L 0 l 0 Z W 0 + P E l 0 Z W 0 + P E l 0 Z W 1 M b 2 N h d G l v b j 4 8 S X R l b V R 5 c G U + R m 9 y b X V s Y T w v S X R l b V R 5 c G U + P E l 0 Z W 1 Q Y X R o P l N l Y 3 R p b 2 4 x L 0 R l c 2 l u d m V z d G V y a W 5 n L 0 F h b m d l c G F z d D E 8 L 0 l 0 Z W 1 Q Y X R o P j w v S X R l b U x v Y 2 F 0 a W 9 u P j x T d G F i b G V F b n R y a W V z L z 4 8 L 0 l 0 Z W 0 + P E l 0 Z W 0 + P E l 0 Z W 1 M b 2 N h d G l v b j 4 8 S X R l b V R 5 c G U + R m 9 y b X V s Y T w v S X R l b V R 5 c G U + P E l 0 Z W 1 Q Y X R o P l N l Y 3 R p b 2 4 x L 0 R l c 2 l u d m V z d G V y a W 5 n L 0 F h b m d l c G F z d D I 8 L 0 l 0 Z W 1 Q Y X R o P j w v S X R l b U x v Y 2 F 0 a W 9 u P j x T d G F i b G V F b n R y a W V z L z 4 8 L 0 l 0 Z W 0 + P E l 0 Z W 0 + P E l 0 Z W 1 M b 2 N h d G l v b j 4 8 S X R l b V R 5 c G U + R m 9 y b X V s Y T w v S X R l b V R 5 c G U + P E l 0 Z W 1 Q Y X R o P l N l Y 3 R p b 2 4 x L 0 9 w Z X J h d G l v b m V s Z S U y M G t v c 3 R l b i 9 B Y W 5 n Z X B h c 3 Q x P C 9 J d G V t U G F 0 a D 4 8 L 0 l 0 Z W 1 M b 2 N h d G l v b j 4 8 U 3 R h Y m x l R W 5 0 c m l l c y 8 + P C 9 J d G V t P j x J d G V t P j x J d G V t T G 9 j Y X R p b 2 4 + P E l 0 Z W 1 U e X B l P k Z v c m 1 1 b G E 8 L 0 l 0 Z W 1 U e X B l P j x J d G V t U G F 0 a D 5 T Z W N 0 a W 9 u M S 9 X V U k l M k Z P b W J v d X c v Q W F u Z 2 V w Y X N 0 M j w v S X R l b V B h d G g + P C 9 J d G V t T G 9 j Y X R p b 2 4 + P F N 0 Y W J s Z U V u d H J p Z X M v P j w v S X R l b T 4 8 S X R l b T 4 8 S X R l b U x v Y 2 F 0 a W 9 u P j x J d G V t V H l w Z T 5 G b 3 J t d W x h P C 9 J d G V t V H l w Z T 4 8 S X R l b V B h d G g + U 2 V j d G l v b j E v V 1 V J J T J G T 2 1 i b 3 V 3 L 0 F h b m d l c G F z d D M 8 L 0 l 0 Z W 1 Q Y X R o P j w v S X R l b U x v Y 2 F 0 a W 9 u P j x T d G F i b G V F b n R y a W V z L z 4 8 L 0 l 0 Z W 0 + P E l 0 Z W 0 + P E l 0 Z W 1 M b 2 N h d G l v b j 4 8 S X R l b V R 5 c G U + R m 9 y b X V s Y T w v S X R l b V R 5 c G U + P E l 0 Z W 1 Q Y X R o P l N l Y 3 R p b 2 4 x L 1 d V S S U y R k 9 t Y m 9 1 d y 9 B Y W 5 n Z X B h c 3 Q 1 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N o A A A A B A A A A 0 I y d 3 w E V 0 R G M e g D A T 8 K X 6 w E A A A D p 5 z D C 5 x M 3 T b H w b / T B Q g w i A A A A A A I A A A A A A A N m A A D A A A A A E A A A A O k k I r H C C A A / s G 2 4 H q D i P Q s A A A A A B I A A A K A A A A A Q A A A A Z + K M + a p c d c F m l n X z D h a W u F A A A A C s L K m d 1 p H X R 0 S b o 9 m t j J h / 3 T v j 6 A e k G P n v J J R b k y 5 O C 3 7 H f 2 E C + z S 3 k 6 u 4 k s l o c 3 n 5 C I q d o t t R e l 7 3 B b g X g Z H 4 c a e C m V c P 3 0 j F 7 r Y Q S l R s G x Q A A A D G Y I h w T D l 0 S O 3 J V P 5 U I s N B F x 7 Z a Q = = < / 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0FBAC038A508248800D947EBADE59DB" ma:contentTypeVersion="4" ma:contentTypeDescription="Een nieuw document maken." ma:contentTypeScope="" ma:versionID="57ab29150ab310ba155e42bacc180b65">
  <xsd:schema xmlns:xsd="http://www.w3.org/2001/XMLSchema" xmlns:xs="http://www.w3.org/2001/XMLSchema" xmlns:p="http://schemas.microsoft.com/office/2006/metadata/properties" xmlns:ns2="0009d3ae-0f9e-47be-ae31-9d6cd8b104c4" xmlns:ns3="e86c01b2-c361-4e91-84fb-339b9c7d1ada" targetNamespace="http://schemas.microsoft.com/office/2006/metadata/properties" ma:root="true" ma:fieldsID="d93ba427e271b5e92c1d68aeb35482cd" ns2:_="" ns3:_="">
    <xsd:import namespace="0009d3ae-0f9e-47be-ae31-9d6cd8b104c4"/>
    <xsd:import namespace="e86c01b2-c361-4e91-84fb-339b9c7d1ad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86c01b2-c361-4e91-84fb-339b9c7d1ad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CDAB9D1-B815-4B0E-93E7-4496A7FE99F6}">
  <ds:schemaRefs>
    <ds:schemaRef ds:uri="http://purl.org/dc/terms/"/>
    <ds:schemaRef ds:uri="0009d3ae-0f9e-47be-ae31-9d6cd8b104c4"/>
    <ds:schemaRef ds:uri="http://schemas.microsoft.com/office/2006/documentManagement/types"/>
    <ds:schemaRef ds:uri="http://schemas.openxmlformats.org/package/2006/metadata/core-properties"/>
    <ds:schemaRef ds:uri="e86c01b2-c361-4e91-84fb-339b9c7d1ada"/>
    <ds:schemaRef ds:uri="http://www.w3.org/XML/1998/namespace"/>
    <ds:schemaRef ds:uri="http://purl.org/dc/elements/1.1/"/>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3CCC0C11-BCA0-40B0-A1EB-00F8BE4AEEA8}">
  <ds:schemaRefs>
    <ds:schemaRef ds:uri="http://schemas.microsoft.com/DataMashup"/>
  </ds:schemaRefs>
</ds:datastoreItem>
</file>

<file path=customXml/itemProps3.xml><?xml version="1.0" encoding="utf-8"?>
<ds:datastoreItem xmlns:ds="http://schemas.openxmlformats.org/officeDocument/2006/customXml" ds:itemID="{3F476EE9-57EE-4A57-9645-1C093EDB7BE0}">
  <ds:schemaRefs>
    <ds:schemaRef ds:uri="http://schemas.microsoft.com/sharepoint/v3/contenttype/forms"/>
  </ds:schemaRefs>
</ds:datastoreItem>
</file>

<file path=customXml/itemProps4.xml><?xml version="1.0" encoding="utf-8"?>
<ds:datastoreItem xmlns:ds="http://schemas.openxmlformats.org/officeDocument/2006/customXml" ds:itemID="{00E5CB12-C0DC-4936-8D5D-45A8264346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e86c01b2-c361-4e91-84fb-339b9c7d1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4651D173-5D1D-4DD1-A11E-C256FB3A644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Entry- en exittarieven</vt:lpstr>
      <vt:lpstr>Input --&gt;</vt:lpstr>
      <vt:lpstr>2. Parameters</vt:lpstr>
      <vt:lpstr>3. Input nacalculaties</vt:lpstr>
      <vt:lpstr>4. Input capaciteit</vt:lpstr>
      <vt:lpstr>Berekeningen --&gt;</vt:lpstr>
      <vt:lpstr>5. Nacalculaties</vt:lpstr>
      <vt:lpstr>6. Toegestane inkomsten</vt:lpstr>
      <vt:lpstr>7. RPM</vt:lpstr>
      <vt:lpstr>8. Entry- en exittarieven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2025-05-28T13:06:05Z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0x01010010FBAC038A508248800D947EBADE59DB</vt:lpwstr>
  </property>
  <property fmtid="{D5CDD505-2E9C-101B-9397-08002B2CF9AE}" pid="3" name="_dlc_DocIdItemGuid">
    <vt:lpwstr>046656d1-04de-4f55-a47f-060f5188087e</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