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ADE64826-031C-4D88-9436-988F721F000A}" xr6:coauthVersionLast="47" xr6:coauthVersionMax="47" xr10:uidLastSave="{00000000-0000-0000-0000-000000000000}"/>
  <bookViews>
    <workbookView xWindow="5070" yWindow="5070" windowWidth="38700" windowHeight="15210" tabRatio="942" xr2:uid="{00000000-000D-0000-FFFF-FFFF00000000}"/>
  </bookViews>
  <sheets>
    <sheet name="1. Charge summary" sheetId="21" r:id="rId1"/>
    <sheet name="Input --&gt;" sheetId="13" r:id="rId2"/>
    <sheet name="2. Parameters" sheetId="24" r:id="rId3"/>
    <sheet name="3. Input corrections" sheetId="59" r:id="rId4"/>
    <sheet name="4. Input capacity" sheetId="35" r:id="rId5"/>
    <sheet name="Calculations --&gt;" sheetId="15" r:id="rId6"/>
    <sheet name="5. Corrections" sheetId="25" r:id="rId7"/>
    <sheet name="6. Allowed revenues" sheetId="32" r:id="rId8"/>
    <sheet name="7. RPM" sheetId="34" r:id="rId9"/>
    <sheet name="8. Entry and exit charges"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25" l="1"/>
  <c r="P35" i="25"/>
  <c r="P34" i="25"/>
  <c r="P29" i="25"/>
  <c r="P24" i="25"/>
  <c r="P17" i="25" l="1"/>
  <c r="P16" i="25" l="1"/>
  <c r="N18" i="34" l="1"/>
  <c r="N15" i="34"/>
  <c r="N16" i="34"/>
  <c r="N13" i="34"/>
  <c r="N12" i="34"/>
  <c r="P36" i="25"/>
  <c r="R21" i="24"/>
  <c r="P18" i="25" l="1"/>
  <c r="P19" i="25" s="1"/>
  <c r="Q20" i="24" l="1"/>
  <c r="R20" i="24" s="1"/>
  <c r="R12" i="25" s="1"/>
  <c r="R37" i="25" l="1"/>
  <c r="N14" i="32" s="1"/>
  <c r="R30" i="25"/>
  <c r="N13" i="32" s="1"/>
  <c r="R25" i="25"/>
  <c r="N12" i="32" s="1"/>
  <c r="R20" i="25"/>
  <c r="N11" i="32" s="1"/>
  <c r="R42" i="25"/>
  <c r="N15" i="32" s="1"/>
  <c r="F77" i="36"/>
  <c r="F78" i="36" s="1"/>
  <c r="N19" i="32" l="1"/>
  <c r="F79" i="36"/>
  <c r="O18" i="24"/>
  <c r="N17" i="24"/>
  <c r="O17" i="24" s="1"/>
  <c r="M16" i="24"/>
  <c r="N16" i="24" s="1"/>
  <c r="O16" i="24" s="1"/>
  <c r="L15" i="24"/>
  <c r="M15" i="24" s="1"/>
  <c r="N15" i="24" s="1"/>
  <c r="O15" i="24" s="1"/>
  <c r="P19" i="24"/>
  <c r="Q19" i="24" s="1"/>
  <c r="R19" i="24" s="1"/>
  <c r="P15" i="24" l="1"/>
  <c r="Q15" i="24" s="1"/>
  <c r="R15" i="24" s="1"/>
  <c r="P16" i="24"/>
  <c r="Q16" i="24" s="1"/>
  <c r="R16" i="24" s="1"/>
  <c r="P18" i="24"/>
  <c r="Q18" i="24" s="1"/>
  <c r="R18" i="24" s="1"/>
  <c r="P17" i="24"/>
  <c r="Q17" i="24" s="1"/>
  <c r="R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P12" i="25" l="1"/>
  <c r="F96" i="24" l="1"/>
  <c r="F69" i="36" s="1"/>
  <c r="F95" i="24"/>
  <c r="F68" i="36" s="1"/>
  <c r="F67" i="36"/>
  <c r="F93" i="24"/>
  <c r="F66" i="36" s="1"/>
  <c r="F26" i="24"/>
  <c r="F26" i="34" s="1"/>
  <c r="Q12" i="25" l="1"/>
  <c r="F74" i="36"/>
  <c r="F73" i="36"/>
  <c r="N30" i="34" l="1"/>
  <c r="N33" i="34" s="1"/>
  <c r="N32" i="34" l="1"/>
  <c r="N37" i="34" l="1"/>
  <c r="N38" i="34" s="1"/>
  <c r="N50" i="34"/>
  <c r="N45" i="34" l="1"/>
  <c r="F86" i="36" s="1"/>
  <c r="N46" i="34"/>
  <c r="F87" i="36" s="1"/>
  <c r="N42" i="34"/>
  <c r="F83" i="36" s="1"/>
  <c r="N44" i="34"/>
  <c r="F85" i="36" s="1"/>
  <c r="N43" i="34"/>
  <c r="F84" i="36" s="1"/>
  <c r="N51" i="34" l="1"/>
  <c r="N53" i="34" s="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<sst xmlns="http://schemas.openxmlformats.org/spreadsheetml/2006/main" count="808" uniqueCount="180">
  <si>
    <t>Storage</t>
  </si>
  <si>
    <t>Within-day</t>
  </si>
  <si>
    <t>April</t>
  </si>
  <si>
    <t>September</t>
  </si>
  <si>
    <t>November</t>
  </si>
  <si>
    <t>December</t>
  </si>
  <si>
    <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</si>
  <si>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</si>
  <si>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</si>
  <si>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</si>
  <si>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</si>
  <si>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</si>
  <si>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</si>
  <si>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</si>
  <si>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</si>
  <si>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</si>
  <si>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</si>
  <si>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</si>
  <si>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</si>
  <si>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</si>
  <si>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</si>
  <si>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</si>
  <si>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</si>
  <si>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2017</t>
  </si>
  <si>
    <t>2018</t>
  </si>
  <si>
    <t>2019</t>
  </si>
  <si>
    <t>GTS</t>
  </si>
  <si>
    <t>Selected network point</t>
  </si>
  <si>
    <t>All other entry and exit points</t>
  </si>
  <si>
    <t>Description of result</t>
  </si>
  <si>
    <t>In this tab, the reservation prices are retrieved from the calculation tab
"8. Entry and exit charges".</t>
  </si>
  <si>
    <t>Explanation</t>
  </si>
  <si>
    <t>ACM has set different interruptible discounts for different entry and exit points. The discount is based on the realised chance of interruptions in previous years. In the pink cell beside (J8) you can select a network point from the drop down menu. The corresponding tariffs will then be displayed.</t>
  </si>
  <si>
    <t>Description</t>
  </si>
  <si>
    <t>Charge entry (for IPs)</t>
  </si>
  <si>
    <t>Non-storage</t>
  </si>
  <si>
    <t>LNG-facilities</t>
  </si>
  <si>
    <t>Payable charge entry (for domestic entry points)</t>
  </si>
  <si>
    <t>Year</t>
  </si>
  <si>
    <t>Quarter</t>
  </si>
  <si>
    <t>Month</t>
  </si>
  <si>
    <t>Day</t>
  </si>
  <si>
    <t>EUR/kWh/hour/year</t>
  </si>
  <si>
    <t>EUR/kWh/hour/quarter</t>
  </si>
  <si>
    <t>EUR/kWh/hour/month</t>
  </si>
  <si>
    <t>EUR/kWh/hour/day</t>
  </si>
  <si>
    <t>EUR/kWh/hour/hour</t>
  </si>
  <si>
    <t>January</t>
  </si>
  <si>
    <t>February</t>
  </si>
  <si>
    <t>March</t>
  </si>
  <si>
    <t>May</t>
  </si>
  <si>
    <t>June</t>
  </si>
  <si>
    <t>July</t>
  </si>
  <si>
    <t>August</t>
  </si>
  <si>
    <t>October</t>
  </si>
  <si>
    <t>Charge exit (for IPs)</t>
  </si>
  <si>
    <t>Payable charge exit (for domestic exit points)</t>
  </si>
  <si>
    <t>Charge interruptible capacity entry (for IPs)</t>
  </si>
  <si>
    <t>Payable charge interruptible capacity entry (for domestic entry points)</t>
  </si>
  <si>
    <t>Charge interruptible capacity exit (for IPs)</t>
  </si>
  <si>
    <t>Payable charge interruptible capacity exit (for domestic exit points)</t>
  </si>
  <si>
    <t>LNG facilities</t>
  </si>
  <si>
    <t>Unit</t>
  </si>
  <si>
    <t>1 + interest rate</t>
  </si>
  <si>
    <t>Table 2 - Parameters</t>
  </si>
  <si>
    <t>Description data</t>
  </si>
  <si>
    <t>Discount rate</t>
  </si>
  <si>
    <t>Interest rate</t>
  </si>
  <si>
    <t>1 + discount rate</t>
  </si>
  <si>
    <t>from 2020 to year</t>
  </si>
  <si>
    <t>from 2021 to year</t>
  </si>
  <si>
    <t>from 2022 to year</t>
  </si>
  <si>
    <t>from 2023 to year</t>
  </si>
  <si>
    <t>from 2024 to year</t>
  </si>
  <si>
    <t>from 2025 to year</t>
  </si>
  <si>
    <t>from 2026 to year</t>
  </si>
  <si>
    <t>Entry-exit split</t>
  </si>
  <si>
    <t>Share of allowed income entry</t>
  </si>
  <si>
    <t>Share of allowed income exit</t>
  </si>
  <si>
    <t>Discounts</t>
  </si>
  <si>
    <t>Storage discount</t>
  </si>
  <si>
    <t>LNG-facility discount</t>
  </si>
  <si>
    <t>Multipliers</t>
  </si>
  <si>
    <t>Multiplier quarterly capacity product</t>
  </si>
  <si>
    <t>Multiplier monthly capacity product</t>
  </si>
  <si>
    <t>Multiplier daily capacity product</t>
  </si>
  <si>
    <t>Multiplier within-day capacity product</t>
  </si>
  <si>
    <t>Seasonal factors</t>
  </si>
  <si>
    <t>Seasonal factor quarterly capacity products</t>
  </si>
  <si>
    <t>Jan-Mar</t>
  </si>
  <si>
    <t>Apr-Jun</t>
  </si>
  <si>
    <t>Jul-Sep</t>
  </si>
  <si>
    <t>Oct-Dec</t>
  </si>
  <si>
    <t>Seasonal factor monthly capacity products</t>
  </si>
  <si>
    <t>Seasonal factor daily and within-day capacity products</t>
  </si>
  <si>
    <t>Number of days/hours per capacity product</t>
  </si>
  <si>
    <t>Number of hours per day</t>
  </si>
  <si>
    <t>Number of days per year</t>
  </si>
  <si>
    <t>Number of hours per year</t>
  </si>
  <si>
    <t>Interruptible capacity discount</t>
  </si>
  <si>
    <t>On this tab, all relevant parameters are presented.</t>
  </si>
  <si>
    <t>unit</t>
  </si>
  <si>
    <t>Number of days per month in the year 2027</t>
  </si>
  <si>
    <t>Number of days per quarter in the year 2027</t>
  </si>
  <si>
    <t>Number of days and hours per year in the year 2027</t>
  </si>
  <si>
    <t>Source</t>
  </si>
  <si>
    <t>DNB, from 2025 onwards calculated by ACM based on ECB data</t>
  </si>
  <si>
    <t>Tariff Code gas</t>
  </si>
  <si>
    <t>Remark</t>
  </si>
  <si>
    <t>Regulatory data 2025</t>
  </si>
  <si>
    <t>Neutrality charge 2025</t>
  </si>
  <si>
    <t>EUR, year</t>
  </si>
  <si>
    <t>Table 3 - Input corrections</t>
  </si>
  <si>
    <t>On this tab, the required data for corrections is presented.</t>
  </si>
  <si>
    <t>Neutrality charge</t>
  </si>
  <si>
    <t>Costs paid for via neutrality charge (article 4.1.4.5 Transportcode Gas LNB)</t>
  </si>
  <si>
    <t>Costs paid for via neutrality charge (article 4.1.4.6 Transportcode Gas LNB)</t>
  </si>
  <si>
    <t>End of day settlement (article 4.1.7 Transportcode Gas LNB)</t>
  </si>
  <si>
    <t>Costs paid for via neutrality charge (default corrected for subsequent revenues)</t>
  </si>
  <si>
    <t>Allowed revenues 2025</t>
  </si>
  <si>
    <t>Realised revenues 2025</t>
  </si>
  <si>
    <t>Costs 2025 paid for via neutrality charge</t>
  </si>
  <si>
    <t xml:space="preserve">End of day settlement 2025 </t>
  </si>
  <si>
    <t>Revenues 2025 from exchange charge</t>
  </si>
  <si>
    <t>Table 4 - Input capacity</t>
  </si>
  <si>
    <t>This tab shows the estimate of the contracted capacity.</t>
  </si>
  <si>
    <t>Forecasted contracted capacity</t>
  </si>
  <si>
    <t>Forecasted contracted capacity entry</t>
  </si>
  <si>
    <t>kWh/hour/year</t>
  </si>
  <si>
    <t>Forecasted contracted capacity exit</t>
  </si>
  <si>
    <t>Forecasted contracted capacity entry storage</t>
  </si>
  <si>
    <t>Forecasted contracted capacity exit storage</t>
  </si>
  <si>
    <t>Forecasted contracted capacity entry LNG-facilities</t>
  </si>
  <si>
    <t>Table 1 - Neutrality charge summary</t>
  </si>
  <si>
    <t>Table 5 - Corrections</t>
  </si>
  <si>
    <t>On this tab, the corrections including discount rate are calculated.</t>
  </si>
  <si>
    <t>Used parameters</t>
  </si>
  <si>
    <t>1+discount rate</t>
  </si>
  <si>
    <t>Difference</t>
  </si>
  <si>
    <t>Corrected excl. discount rate</t>
  </si>
  <si>
    <t>Corrected incl. discount rate</t>
  </si>
  <si>
    <t>Correction incl. discount rate</t>
  </si>
  <si>
    <t>Sum</t>
  </si>
  <si>
    <t>From 2025 to year</t>
  </si>
  <si>
    <t>End of day settlement 2025</t>
  </si>
  <si>
    <t>Table 6 - Allowed revenues</t>
  </si>
  <si>
    <t>On this tab, the allowed revenues are calculated.</t>
  </si>
  <si>
    <t>Corrections</t>
  </si>
  <si>
    <t>End of day settlement and exchange charge (article 4.1.7 Transportcode Gas LNB)</t>
  </si>
  <si>
    <t>Allowed revenues</t>
  </si>
  <si>
    <t>Table 7 - Reference price methodology</t>
  </si>
  <si>
    <t>On this tab, the reference prices are calculated.</t>
  </si>
  <si>
    <t>Used data</t>
  </si>
  <si>
    <t>Share allowed revenues entry</t>
  </si>
  <si>
    <t>Share allowed revenues exit</t>
  </si>
  <si>
    <t>Charges before modifications</t>
  </si>
  <si>
    <t>Charge entry before modifications</t>
  </si>
  <si>
    <t>Charge exit before modifications</t>
  </si>
  <si>
    <t>Constant before rescale</t>
  </si>
  <si>
    <t>Income loss from storage &amp; LNG-facility discount</t>
  </si>
  <si>
    <t>Rescale factor</t>
  </si>
  <si>
    <t>Charges after modifications</t>
  </si>
  <si>
    <t>Charge entry after modifications non storage</t>
  </si>
  <si>
    <t>Charge exit after modifications non storage</t>
  </si>
  <si>
    <t>Charge entry after modifications storage</t>
  </si>
  <si>
    <t>Charge exit after modifications storage</t>
  </si>
  <si>
    <t>Charge entry after modifications LNG-facilities</t>
  </si>
  <si>
    <t>Check on tariff modifications</t>
  </si>
  <si>
    <t>Revenues before modifications</t>
  </si>
  <si>
    <t>Revenues after modifications</t>
  </si>
  <si>
    <t>Revenues before modifications = revenues after modifications?</t>
  </si>
  <si>
    <t>Constant</t>
  </si>
  <si>
    <t>The within-day charges are rounded up, so that a 24-hour within-day product is not cheaper than a day product.</t>
  </si>
  <si>
    <t>Table 8 - Entry and exit Neutrality charges</t>
  </si>
  <si>
    <t xml:space="preserve">On this tab, the entry and exit charges are calculated. </t>
  </si>
  <si>
    <t>Selected network point for interruptible discount</t>
  </si>
  <si>
    <t>Interruptible capacity discount entry</t>
  </si>
  <si>
    <t>Interruptible capacity discount exit</t>
  </si>
  <si>
    <t>EUR/kWh/hour/year, pp 2027</t>
  </si>
  <si>
    <t>Charges after modifications (not rounded)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</si>
</sst>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1">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 numFmtId="270" formatCode="0.000_ ;\-0.000\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theme="0"/>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8">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2" borderId="0" xfId="4" applyNumberFormat="1" applyFill="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6" fillId="0" borderId="0" xfId="63" applyNumberFormat="1" applyFill="1" applyAlignment="1">
      <alignment vertical="center"/>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49" fontId="7" fillId="20" borderId="1" xfId="6" applyAlignment="1">
      <alignment horizontal="righ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164" fontId="7" fillId="20" borderId="1" xfId="63" applyNumberFormat="1" applyFont="1" applyFill="1" applyBorder="1">
      <alignment vertical="top"/>
    </xf>
    <xf numFmtId="164" fontId="6" fillId="0" borderId="0" xfId="64" applyNumberFormat="1">
      <alignment vertical="top"/>
    </xf>
    <xf numFmtId="164" fontId="14" fillId="0" borderId="0" xfId="63" applyNumberFormat="1" applyFont="1" applyFill="1">
      <alignment vertical="top"/>
    </xf>
    <xf numFmtId="49" fontId="14" fillId="0" borderId="0" xfId="63" applyNumberFormat="1" applyFont="1" applyFill="1">
      <alignment vertical="top"/>
    </xf>
    <xf numFmtId="3" fontId="6" fillId="153" borderId="0" xfId="4" applyNumberFormat="1" applyFill="1">
      <alignment vertical="top"/>
    </xf>
    <xf numFmtId="3" fontId="6" fillId="14" borderId="0" xfId="4" applyNumberFormat="1" applyFill="1">
      <alignment vertical="top"/>
    </xf>
    <xf numFmtId="3" fontId="6" fillId="13" borderId="0" xfId="4" applyNumberFormat="1" applyFill="1">
      <alignment vertical="top"/>
    </xf>
    <xf numFmtId="241" fontId="6" fillId="13" borderId="0" xfId="63" applyNumberFormat="1" applyFill="1">
      <alignment vertical="top"/>
    </xf>
    <xf numFmtId="49" fontId="7" fillId="154" borderId="0" xfId="7" applyFill="1">
      <alignment vertical="top"/>
    </xf>
    <xf numFmtId="241" fontId="6" fillId="12" borderId="0" xfId="63" applyNumberFormat="1" applyFill="1">
      <alignment vertical="top"/>
    </xf>
    <xf numFmtId="270" fontId="6" fillId="13" borderId="0" xfId="63" applyNumberFormat="1" applyFill="1">
      <alignment vertical="top"/>
    </xf>
    <xf numFmtId="270" fontId="6" fillId="13" borderId="0" xfId="63" applyNumberFormat="1" applyFill="1" applyAlignment="1">
      <alignment vertical="top"/>
    </xf>
    <xf numFmtId="270" fontId="6" fillId="13" borderId="0" xfId="10" applyNumberFormat="1" applyFill="1">
      <alignment vertical="top"/>
    </xf>
    <xf numFmtId="0" fontId="6" fillId="0" borderId="0" xfId="4" applyAlignment="1">
      <alignment horizontal="left" vertical="top" wrapText="1"/>
    </xf>
    <xf numFmtId="262" fontId="6" fillId="13" borderId="0" xfId="4" applyNumberFormat="1" applyFill="1" applyAlignment="1">
      <alignment horizontal="right" vertical="center"/>
    </xf>
    <xf numFmtId="270" fontId="6" fillId="13" borderId="0" xfId="63" applyNumberFormat="1" applyFill="1" applyAlignment="1">
      <alignment horizontal="right" vertical="center"/>
    </xf>
    <xf numFmtId="0" fontId="6" fillId="154" borderId="0" xfId="4" applyFill="1" applyAlignment="1">
      <alignment horizontal="left" vertical="top" wrapText="1"/>
    </xf>
    <xf numFmtId="0" fontId="6" fillId="154" borderId="0" xfId="4" applyFill="1" applyAlignment="1">
      <alignment horizontal="left" vertical="top"/>
    </xf>
    <xf numFmtId="262" fontId="6" fillId="13" borderId="0" xfId="63" applyNumberFormat="1" applyFill="1" applyAlignment="1">
      <alignment horizontal="right" vertical="center"/>
    </xf>
    <xf numFmtId="166" fontId="6" fillId="13" borderId="0" xfId="63" applyNumberFormat="1" applyFill="1" applyAlignment="1">
      <alignment vertical="center"/>
    </xf>
    <xf numFmtId="270" fontId="6" fillId="13" borderId="0" xfId="63" applyNumberFormat="1" applyFill="1" applyAlignment="1">
      <alignment vertical="center"/>
    </xf>
    <xf numFmtId="166" fontId="6" fillId="13" borderId="0" xfId="63" applyNumberFormat="1" applyFill="1" applyAlignment="1">
      <alignment horizontal="right" vertical="center"/>
    </xf>
    <xf numFmtId="262" fontId="6" fillId="13" borderId="0" xfId="4" applyNumberFormat="1" applyFill="1" applyAlignment="1">
      <alignment vertical="center"/>
    </xf>
    <xf numFmtId="0" fontId="6" fillId="0" borderId="0" xfId="4" applyAlignment="1">
      <alignment horizontal="left" vertical="top"/>
    </xf>
    <xf numFmtId="262" fontId="6" fillId="13" borderId="0" xfId="4" applyNumberFormat="1" applyFill="1" applyAlignment="1">
      <alignment horizontal="center" vertical="center"/>
    </xf>
    <xf numFmtId="270"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CCFFFF"/>
      <color rgb="FFFFCC99"/>
      <color rgb="FF99FF99"/>
      <color rgb="FFFFFFCC"/>
      <color rgb="FFFFCCFF"/>
      <color rgb="FFCCFFCC"/>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tabSelected="1" zoomScale="90" zoomScaleNormal="90" workbookViewId="0">
      <pane xSplit="5" ySplit="10" topLeftCell="F11" activePane="bottomRight" state="frozen"/>
      <selection pane="topRight" activeCell="F1" sqref="F1"/>
      <selection pane="bottomLeft" activeCell="A11" sqref="A11"/>
      <selection pane="bottomRight"/>
    </sheetView>
  </sheetViews>
  <sheetFormatPr defaultColWidth="9.140625" defaultRowHeight="12.75"/>
  <cols>
    <col min="1" max="1" width="2.5703125" style="3" customWidth="1"/>
    <col min="2" max="2" width="45.5703125" style="3" customWidth="1"/>
    <col min="3" max="5" width="2.5703125" style="3" customWidth="1"/>
    <col min="6" max="6" width="14.7109375" style="3" customWidth="1"/>
    <col min="7" max="7" width="2.5703125" style="3" customWidth="1"/>
    <col min="8" max="8" width="19" style="3" customWidth="1"/>
    <col min="9" max="9" width="21.5703125" style="3" bestFit="1" customWidth="1"/>
    <col min="10" max="10" width="20" style="3" bestFit="1" customWidth="1"/>
    <col min="11" max="11" width="17" style="3" bestFit="1" customWidth="1"/>
    <col min="12" max="12" width="16.5703125" style="3" bestFit="1" customWidth="1"/>
    <col min="13" max="13" width="13.42578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8" customFormat="1" ht="18">
      <c r="B2" s="8" t="s">
        <v>133</v>
      </c>
    </row>
    <row r="4" spans="2:24">
      <c r="B4" s="109" t="s">
        <v>29</v>
      </c>
      <c r="C4" s="2"/>
      <c r="D4" s="2"/>
      <c r="E4" s="2"/>
    </row>
    <row r="5" spans="2:24" ht="24.75" customHeight="1">
      <c r="B5" s="117" t="s">
        <v>30</v>
      </c>
      <c r="C5" s="118"/>
      <c r="D5" s="118"/>
      <c r="E5" s="118"/>
      <c r="F5" s="118"/>
    </row>
    <row r="6" spans="2:24">
      <c r="B6" s="1"/>
      <c r="C6" s="47"/>
      <c r="D6" s="47"/>
      <c r="E6" s="47"/>
      <c r="F6" s="47"/>
    </row>
    <row r="7" spans="2:24">
      <c r="B7" s="109" t="s">
        <v>31</v>
      </c>
      <c r="C7" s="9"/>
      <c r="D7" s="9"/>
      <c r="E7" s="47"/>
      <c r="F7" s="47"/>
    </row>
    <row r="8" spans="2:24" ht="79.5" customHeight="1">
      <c r="B8" s="114" t="s">
        <v>32</v>
      </c>
      <c r="C8" s="114"/>
      <c r="D8" s="114"/>
      <c r="E8" s="47"/>
      <c r="F8" s="47"/>
      <c r="H8" s="98" t="s">
        <v>27</v>
      </c>
      <c r="J8" s="96" t="s">
        <v>28</v>
      </c>
      <c r="K8" s="89"/>
    </row>
    <row r="9" spans="2:24">
      <c r="B9" s="4"/>
    </row>
    <row r="10" spans="2:24" s="6" customFormat="1" ht="12.75" customHeight="1">
      <c r="B10" s="6" t="s">
        <v>33</v>
      </c>
    </row>
    <row r="12" spans="2:24" s="21" customFormat="1" ht="12.75" customHeight="1">
      <c r="B12" s="21" t="s">
        <v>34</v>
      </c>
      <c r="H12" s="21" t="s">
        <v>35</v>
      </c>
      <c r="N12" s="21" t="s">
        <v>0</v>
      </c>
      <c r="T12" s="21" t="s">
        <v>36</v>
      </c>
    </row>
    <row r="13" spans="2:24" s="23" customFormat="1">
      <c r="B13" s="23" t="s">
        <v>37</v>
      </c>
      <c r="H13" s="23" t="s">
        <v>38</v>
      </c>
      <c r="I13" s="23" t="s">
        <v>39</v>
      </c>
      <c r="J13" s="23" t="s">
        <v>40</v>
      </c>
      <c r="K13" s="23" t="s">
        <v>41</v>
      </c>
      <c r="L13" s="23" t="s">
        <v>1</v>
      </c>
      <c r="N13" s="23" t="s">
        <v>38</v>
      </c>
      <c r="O13" s="23" t="s">
        <v>39</v>
      </c>
      <c r="P13" s="23" t="s">
        <v>40</v>
      </c>
      <c r="Q13" s="23" t="s">
        <v>41</v>
      </c>
      <c r="R13" s="23" t="s">
        <v>1</v>
      </c>
      <c r="T13" s="23" t="s">
        <v>38</v>
      </c>
      <c r="U13" s="23" t="s">
        <v>39</v>
      </c>
      <c r="V13" s="23" t="s">
        <v>40</v>
      </c>
      <c r="W13" s="23" t="s">
        <v>41</v>
      </c>
      <c r="X13" s="23" t="s">
        <v>1</v>
      </c>
    </row>
    <row r="14" spans="2:24" s="22" customFormat="1">
      <c r="H14" s="22" t="s">
        <v>42</v>
      </c>
      <c r="I14" s="22" t="s">
        <v>43</v>
      </c>
      <c r="J14" s="22" t="s">
        <v>44</v>
      </c>
      <c r="K14" s="22" t="s">
        <v>45</v>
      </c>
      <c r="L14" s="22" t="s">
        <v>46</v>
      </c>
      <c r="N14" s="22" t="s">
        <v>42</v>
      </c>
      <c r="O14" s="22" t="s">
        <v>43</v>
      </c>
      <c r="P14" s="22" t="s">
        <v>44</v>
      </c>
      <c r="Q14" s="22" t="s">
        <v>45</v>
      </c>
      <c r="R14" s="22" t="s">
        <v>46</v>
      </c>
      <c r="T14" s="22" t="s">
        <v>42</v>
      </c>
      <c r="U14" s="22" t="s">
        <v>43</v>
      </c>
      <c r="V14" s="22" t="s">
        <v>44</v>
      </c>
      <c r="W14" s="22" t="s">
        <v>45</v>
      </c>
      <c r="X14" s="22" t="s">
        <v>46</v>
      </c>
    </row>
    <row r="16" spans="2:24">
      <c r="B16" s="36" t="s">
        <v>47</v>
      </c>
      <c r="C16" s="36"/>
      <c r="D16" s="36"/>
      <c r="E16" s="36"/>
      <c r="F16" s="36"/>
      <c r="G16" s="36"/>
      <c r="H16" s="115">
        <f>'8. Entry and exit charges'!H93</f>
        <v>-8.4097400000000006E-3</v>
      </c>
      <c r="I16" s="116">
        <f>'8. Entry and exit charges'!I93</f>
        <v>-3.84141E-3</v>
      </c>
      <c r="J16" s="63">
        <f>'8. Entry and exit charges'!J93</f>
        <v>-1.83741E-3</v>
      </c>
      <c r="K16" s="63">
        <f>'8. Entry and exit charges'!K93</f>
        <v>-7.1489999999999995E-5</v>
      </c>
      <c r="L16" s="75">
        <f>'8. Entry and exit charges'!L93</f>
        <v>-2.9799999999999998E-6</v>
      </c>
      <c r="M16" s="64"/>
      <c r="N16" s="115">
        <f>'8. Entry and exit charges'!N93</f>
        <v>-2.1024300000000002E-3</v>
      </c>
      <c r="O16" s="116">
        <f>'8. Entry and exit charges'!O93</f>
        <v>-9.6035000000000001E-4</v>
      </c>
      <c r="P16" s="63">
        <f>'8. Entry and exit charges'!P93</f>
        <v>-4.5935000000000003E-4</v>
      </c>
      <c r="Q16" s="63">
        <f>'8. Entry and exit charges'!Q93</f>
        <v>-1.787E-5</v>
      </c>
      <c r="R16" s="75">
        <f>'8. Entry and exit charges'!R93</f>
        <v>-7.5000000000000002E-7</v>
      </c>
      <c r="T16" s="122">
        <f>'8. Entry and exit charges'!T93</f>
        <v>-8.4097400000000006E-3</v>
      </c>
      <c r="U16" s="116">
        <f>'8. Entry and exit charges'!U93</f>
        <v>-3.84141E-3</v>
      </c>
      <c r="V16" s="33">
        <f>'8. Entry and exit charges'!V93</f>
        <v>-1.83741E-3</v>
      </c>
      <c r="W16" s="33">
        <f>'8. Entry and exit charges'!W93</f>
        <v>-7.1489999999999995E-5</v>
      </c>
      <c r="X16" s="81">
        <f>'8. Entry and exit charges'!X93</f>
        <v>-2.9799999999999998E-6</v>
      </c>
    </row>
    <row r="17" spans="2:24">
      <c r="B17" s="36" t="s">
        <v>48</v>
      </c>
      <c r="C17" s="36"/>
      <c r="D17" s="36"/>
      <c r="E17" s="36"/>
      <c r="F17" s="36"/>
      <c r="G17" s="36"/>
      <c r="H17" s="115"/>
      <c r="I17" s="116"/>
      <c r="J17" s="63">
        <f>'8. Entry and exit charges'!J94</f>
        <v>-1.4834799999999999E-3</v>
      </c>
      <c r="K17" s="63">
        <f>'8. Entry and exit charges'!K94</f>
        <v>-6.3910000000000003E-5</v>
      </c>
      <c r="L17" s="75">
        <f>'8. Entry and exit charges'!L94</f>
        <v>-2.6699999999999998E-6</v>
      </c>
      <c r="M17" s="64"/>
      <c r="N17" s="115"/>
      <c r="O17" s="116"/>
      <c r="P17" s="63">
        <f>'8. Entry and exit charges'!P94</f>
        <v>-3.7086999999999998E-4</v>
      </c>
      <c r="Q17" s="63">
        <f>'8. Entry and exit charges'!Q94</f>
        <v>-1.5979999999999999E-5</v>
      </c>
      <c r="R17" s="75">
        <f>'8. Entry and exit charges'!R94</f>
        <v>-6.7000000000000004E-7</v>
      </c>
      <c r="T17" s="122"/>
      <c r="U17" s="116"/>
      <c r="V17" s="33">
        <f>'8. Entry and exit charges'!V94</f>
        <v>-1.4834799999999999E-3</v>
      </c>
      <c r="W17" s="33">
        <f>'8. Entry and exit charges'!W94</f>
        <v>-6.3910000000000003E-5</v>
      </c>
      <c r="X17" s="81">
        <f>'8. Entry and exit charges'!X94</f>
        <v>-2.6699999999999998E-6</v>
      </c>
    </row>
    <row r="18" spans="2:24">
      <c r="B18" s="36" t="s">
        <v>49</v>
      </c>
      <c r="C18" s="36"/>
      <c r="D18" s="36"/>
      <c r="E18" s="36"/>
      <c r="F18" s="36"/>
      <c r="G18" s="36"/>
      <c r="H18" s="115"/>
      <c r="I18" s="116"/>
      <c r="J18" s="63">
        <f>'8. Entry and exit charges'!J95</f>
        <v>-1.28458E-3</v>
      </c>
      <c r="K18" s="63">
        <f>'8. Entry and exit charges'!K95</f>
        <v>-4.9960000000000003E-5</v>
      </c>
      <c r="L18" s="75">
        <f>'8. Entry and exit charges'!L95</f>
        <v>-2.0899999999999999E-6</v>
      </c>
      <c r="M18" s="64"/>
      <c r="N18" s="115"/>
      <c r="O18" s="116"/>
      <c r="P18" s="63">
        <f>'8. Entry and exit charges'!P95</f>
        <v>-3.2115000000000003E-4</v>
      </c>
      <c r="Q18" s="63">
        <f>'8. Entry and exit charges'!Q95</f>
        <v>-1.2490000000000001E-5</v>
      </c>
      <c r="R18" s="75">
        <f>'8. Entry and exit charges'!R95</f>
        <v>-5.3000000000000001E-7</v>
      </c>
      <c r="T18" s="122"/>
      <c r="U18" s="116"/>
      <c r="V18" s="33">
        <f>'8. Entry and exit charges'!V95</f>
        <v>-1.28458E-3</v>
      </c>
      <c r="W18" s="33">
        <f>'8. Entry and exit charges'!W95</f>
        <v>-4.9960000000000003E-5</v>
      </c>
      <c r="X18" s="81">
        <f>'8. Entry and exit charges'!X95</f>
        <v>-2.0899999999999999E-6</v>
      </c>
    </row>
    <row r="19" spans="2:24">
      <c r="B19" s="36" t="s">
        <v>2</v>
      </c>
      <c r="C19" s="36"/>
      <c r="D19" s="36"/>
      <c r="E19" s="36"/>
      <c r="F19" s="36"/>
      <c r="G19" s="36"/>
      <c r="H19" s="115"/>
      <c r="I19" s="116">
        <f>'8. Entry and exit charges'!I96</f>
        <v>-2.0547400000000002E-3</v>
      </c>
      <c r="J19" s="63">
        <f>'8. Entry and exit charges'!J96</f>
        <v>-9.2690999999999997E-4</v>
      </c>
      <c r="K19" s="63">
        <f>'8. Entry and exit charges'!K96</f>
        <v>-3.7259999999999999E-5</v>
      </c>
      <c r="L19" s="75">
        <f>'8. Entry and exit charges'!L96</f>
        <v>-1.5599999999999999E-6</v>
      </c>
      <c r="M19" s="64"/>
      <c r="N19" s="115"/>
      <c r="O19" s="116">
        <f>'8. Entry and exit charges'!O96</f>
        <v>-5.1369000000000002E-4</v>
      </c>
      <c r="P19" s="63">
        <f>'8. Entry and exit charges'!P96</f>
        <v>-2.3173000000000001E-4</v>
      </c>
      <c r="Q19" s="63">
        <f>'8. Entry and exit charges'!Q96</f>
        <v>-9.3100000000000006E-6</v>
      </c>
      <c r="R19" s="75">
        <f>'8. Entry and exit charges'!R96</f>
        <v>-3.9000000000000002E-7</v>
      </c>
      <c r="T19" s="122"/>
      <c r="U19" s="116">
        <f>'8. Entry and exit charges'!U96</f>
        <v>-2.0547400000000002E-3</v>
      </c>
      <c r="V19" s="33">
        <f>'8. Entry and exit charges'!V96</f>
        <v>-9.2690999999999997E-4</v>
      </c>
      <c r="W19" s="33">
        <f>'8. Entry and exit charges'!W96</f>
        <v>-3.7259999999999999E-5</v>
      </c>
      <c r="X19" s="81">
        <f>'8. Entry and exit charges'!X96</f>
        <v>-1.5599999999999999E-6</v>
      </c>
    </row>
    <row r="20" spans="2:24">
      <c r="B20" s="36" t="s">
        <v>50</v>
      </c>
      <c r="C20" s="36"/>
      <c r="D20" s="36"/>
      <c r="E20" s="36"/>
      <c r="F20" s="36"/>
      <c r="G20" s="36"/>
      <c r="H20" s="115"/>
      <c r="I20" s="116"/>
      <c r="J20" s="63">
        <f>'8. Entry and exit charges'!J97</f>
        <v>-8.4853000000000001E-4</v>
      </c>
      <c r="K20" s="63">
        <f>'8. Entry and exit charges'!K97</f>
        <v>-3.3019999999999999E-5</v>
      </c>
      <c r="L20" s="75">
        <f>'8. Entry and exit charges'!L97</f>
        <v>-1.3799999999999999E-6</v>
      </c>
      <c r="M20" s="64"/>
      <c r="N20" s="115"/>
      <c r="O20" s="116"/>
      <c r="P20" s="63">
        <f>'8. Entry and exit charges'!P97</f>
        <v>-2.1212999999999999E-4</v>
      </c>
      <c r="Q20" s="63">
        <f>'8. Entry and exit charges'!Q97</f>
        <v>-8.2600000000000005E-6</v>
      </c>
      <c r="R20" s="75">
        <f>'8. Entry and exit charges'!R97</f>
        <v>-3.4999999999999998E-7</v>
      </c>
      <c r="T20" s="122"/>
      <c r="U20" s="116"/>
      <c r="V20" s="33">
        <f>'8. Entry and exit charges'!V97</f>
        <v>-8.4853000000000001E-4</v>
      </c>
      <c r="W20" s="33">
        <f>'8. Entry and exit charges'!W97</f>
        <v>-3.3019999999999999E-5</v>
      </c>
      <c r="X20" s="81">
        <f>'8. Entry and exit charges'!X97</f>
        <v>-1.3799999999999999E-6</v>
      </c>
    </row>
    <row r="21" spans="2:24">
      <c r="B21" s="36" t="s">
        <v>51</v>
      </c>
      <c r="C21" s="36"/>
      <c r="D21" s="36"/>
      <c r="E21" s="36"/>
      <c r="F21" s="36"/>
      <c r="G21" s="36"/>
      <c r="H21" s="115"/>
      <c r="I21" s="116"/>
      <c r="J21" s="63">
        <f>'8. Entry and exit charges'!J98</f>
        <v>-6.8948000000000002E-4</v>
      </c>
      <c r="K21" s="63">
        <f>'8. Entry and exit charges'!K98</f>
        <v>-2.7739999999999999E-5</v>
      </c>
      <c r="L21" s="75">
        <f>'8. Entry and exit charges'!L98</f>
        <v>-1.1599999999999999E-6</v>
      </c>
      <c r="M21" s="64"/>
      <c r="N21" s="115"/>
      <c r="O21" s="116"/>
      <c r="P21" s="63">
        <f>'8. Entry and exit charges'!P98</f>
        <v>-1.7237E-4</v>
      </c>
      <c r="Q21" s="63">
        <f>'8. Entry and exit charges'!Q98</f>
        <v>-6.9399999999999996E-6</v>
      </c>
      <c r="R21" s="75">
        <f>'8. Entry and exit charges'!R98</f>
        <v>-2.9000000000000003E-7</v>
      </c>
      <c r="T21" s="122"/>
      <c r="U21" s="116"/>
      <c r="V21" s="33">
        <f>'8. Entry and exit charges'!V98</f>
        <v>-6.8948000000000002E-4</v>
      </c>
      <c r="W21" s="33">
        <f>'8. Entry and exit charges'!W98</f>
        <v>-2.7739999999999999E-5</v>
      </c>
      <c r="X21" s="81">
        <f>'8. Entry and exit charges'!X98</f>
        <v>-1.1599999999999999E-6</v>
      </c>
    </row>
    <row r="22" spans="2:24">
      <c r="B22" s="36" t="s">
        <v>52</v>
      </c>
      <c r="C22" s="36"/>
      <c r="D22" s="36"/>
      <c r="E22" s="36"/>
      <c r="F22" s="36"/>
      <c r="G22" s="36"/>
      <c r="H22" s="115"/>
      <c r="I22" s="116">
        <f>'8. Entry and exit charges'!I99</f>
        <v>-1.6666300000000001E-3</v>
      </c>
      <c r="J22" s="63">
        <f>'8. Entry and exit charges'!J99</f>
        <v>-6.7283000000000002E-4</v>
      </c>
      <c r="K22" s="63">
        <f>'8. Entry and exit charges'!K99</f>
        <v>-2.6169999999999998E-5</v>
      </c>
      <c r="L22" s="75">
        <f>'8. Entry and exit charges'!L99</f>
        <v>-1.0999999999999998E-6</v>
      </c>
      <c r="M22" s="64"/>
      <c r="N22" s="115"/>
      <c r="O22" s="116">
        <f>'8. Entry and exit charges'!O99</f>
        <v>-4.1666000000000001E-4</v>
      </c>
      <c r="P22" s="63">
        <f>'8. Entry and exit charges'!P99</f>
        <v>-1.6820999999999999E-4</v>
      </c>
      <c r="Q22" s="63">
        <f>'8. Entry and exit charges'!Q99</f>
        <v>-6.5400000000000001E-6</v>
      </c>
      <c r="R22" s="75">
        <f>'8. Entry and exit charges'!R99</f>
        <v>-2.8000000000000002E-7</v>
      </c>
      <c r="T22" s="122"/>
      <c r="U22" s="116">
        <f>'8. Entry and exit charges'!U99</f>
        <v>-1.6666300000000001E-3</v>
      </c>
      <c r="V22" s="33">
        <f>'8. Entry and exit charges'!V99</f>
        <v>-6.7283000000000002E-4</v>
      </c>
      <c r="W22" s="33">
        <f>'8. Entry and exit charges'!W99</f>
        <v>-2.6169999999999998E-5</v>
      </c>
      <c r="X22" s="81">
        <f>'8. Entry and exit charges'!X99</f>
        <v>-1.0999999999999998E-6</v>
      </c>
    </row>
    <row r="23" spans="2:24">
      <c r="B23" s="36" t="s">
        <v>53</v>
      </c>
      <c r="C23" s="36"/>
      <c r="D23" s="36"/>
      <c r="E23" s="36"/>
      <c r="F23" s="36"/>
      <c r="G23" s="36"/>
      <c r="H23" s="115"/>
      <c r="I23" s="116"/>
      <c r="J23" s="63">
        <f>'8. Entry and exit charges'!J100</f>
        <v>-6.3960999999999998E-4</v>
      </c>
      <c r="K23" s="63">
        <f>'8. Entry and exit charges'!K100</f>
        <v>-2.4919999999999999E-5</v>
      </c>
      <c r="L23" s="75">
        <f>'8. Entry and exit charges'!L100</f>
        <v>-1.04E-6</v>
      </c>
      <c r="M23" s="64"/>
      <c r="N23" s="115"/>
      <c r="O23" s="116"/>
      <c r="P23" s="63">
        <f>'8. Entry and exit charges'!P100</f>
        <v>-1.5990000000000001E-4</v>
      </c>
      <c r="Q23" s="63">
        <f>'8. Entry and exit charges'!Q100</f>
        <v>-6.2299999999999996E-6</v>
      </c>
      <c r="R23" s="75">
        <f>'8. Entry and exit charges'!R100</f>
        <v>-2.6E-7</v>
      </c>
      <c r="T23" s="122"/>
      <c r="U23" s="116"/>
      <c r="V23" s="33">
        <f>'8. Entry and exit charges'!V100</f>
        <v>-6.3960999999999998E-4</v>
      </c>
      <c r="W23" s="33">
        <f>'8. Entry and exit charges'!W100</f>
        <v>-2.4919999999999999E-5</v>
      </c>
      <c r="X23" s="81">
        <f>'8. Entry and exit charges'!X100</f>
        <v>-1.04E-6</v>
      </c>
    </row>
    <row r="24" spans="2:24">
      <c r="B24" s="36" t="s">
        <v>3</v>
      </c>
      <c r="C24" s="36"/>
      <c r="D24" s="36"/>
      <c r="E24" s="36"/>
      <c r="F24" s="36"/>
      <c r="G24" s="36"/>
      <c r="H24" s="115"/>
      <c r="I24" s="116"/>
      <c r="J24" s="63">
        <f>'8. Entry and exit charges'!J101</f>
        <v>-6.8740999999999995E-4</v>
      </c>
      <c r="K24" s="63">
        <f>'8. Entry and exit charges'!K101</f>
        <v>-2.7659999999999999E-5</v>
      </c>
      <c r="L24" s="75">
        <f>'8. Entry and exit charges'!L101</f>
        <v>-1.1599999999999999E-6</v>
      </c>
      <c r="M24" s="64"/>
      <c r="N24" s="115"/>
      <c r="O24" s="116"/>
      <c r="P24" s="63">
        <f>'8. Entry and exit charges'!P101</f>
        <v>-1.7185E-4</v>
      </c>
      <c r="Q24" s="63">
        <f>'8. Entry and exit charges'!Q101</f>
        <v>-6.9099999999999999E-6</v>
      </c>
      <c r="R24" s="75">
        <f>'8. Entry and exit charges'!R101</f>
        <v>-2.9000000000000003E-7</v>
      </c>
      <c r="T24" s="122"/>
      <c r="U24" s="116"/>
      <c r="V24" s="33">
        <f>'8. Entry and exit charges'!V101</f>
        <v>-6.8740999999999995E-4</v>
      </c>
      <c r="W24" s="33">
        <f>'8. Entry and exit charges'!W101</f>
        <v>-2.7659999999999999E-5</v>
      </c>
      <c r="X24" s="81">
        <f>'8. Entry and exit charges'!X101</f>
        <v>-1.1599999999999999E-6</v>
      </c>
    </row>
    <row r="25" spans="2:24">
      <c r="B25" s="36" t="s">
        <v>54</v>
      </c>
      <c r="C25" s="36"/>
      <c r="D25" s="36"/>
      <c r="E25" s="36"/>
      <c r="F25" s="36"/>
      <c r="G25" s="36"/>
      <c r="H25" s="115"/>
      <c r="I25" s="116">
        <f>'8. Entry and exit charges'!I102</f>
        <v>-2.92786E-3</v>
      </c>
      <c r="J25" s="63">
        <f>'8. Entry and exit charges'!J102</f>
        <v>-8.1532000000000002E-4</v>
      </c>
      <c r="K25" s="63">
        <f>'8. Entry and exit charges'!K102</f>
        <v>-3.1730000000000003E-5</v>
      </c>
      <c r="L25" s="75">
        <f>'8. Entry and exit charges'!L102</f>
        <v>-1.33E-6</v>
      </c>
      <c r="M25" s="64"/>
      <c r="N25" s="115"/>
      <c r="O25" s="116">
        <f>'8. Entry and exit charges'!O102</f>
        <v>-7.3196000000000003E-4</v>
      </c>
      <c r="P25" s="63">
        <f>'8. Entry and exit charges'!P102</f>
        <v>-2.0383000000000001E-4</v>
      </c>
      <c r="Q25" s="63">
        <f>'8. Entry and exit charges'!Q102</f>
        <v>-7.9300000000000003E-6</v>
      </c>
      <c r="R25" s="75">
        <f>'8. Entry and exit charges'!R102</f>
        <v>-3.4000000000000003E-7</v>
      </c>
      <c r="T25" s="122"/>
      <c r="U25" s="116">
        <f>'8. Entry and exit charges'!U102</f>
        <v>-2.92786E-3</v>
      </c>
      <c r="V25" s="33">
        <f>'8. Entry and exit charges'!V102</f>
        <v>-8.1532000000000002E-4</v>
      </c>
      <c r="W25" s="33">
        <f>'8. Entry and exit charges'!W102</f>
        <v>-3.1730000000000003E-5</v>
      </c>
      <c r="X25" s="81">
        <f>'8. Entry and exit charges'!X102</f>
        <v>-1.33E-6</v>
      </c>
    </row>
    <row r="26" spans="2:24">
      <c r="B26" s="36" t="s">
        <v>4</v>
      </c>
      <c r="C26" s="36"/>
      <c r="D26" s="36"/>
      <c r="E26" s="36"/>
      <c r="F26" s="36"/>
      <c r="G26" s="36"/>
      <c r="H26" s="115"/>
      <c r="I26" s="116"/>
      <c r="J26" s="63">
        <f>'8. Entry and exit charges'!J103</f>
        <v>-1.1716000000000001E-3</v>
      </c>
      <c r="K26" s="63">
        <f>'8. Entry and exit charges'!K103</f>
        <v>-4.7089999999999998E-5</v>
      </c>
      <c r="L26" s="75">
        <f>'8. Entry and exit charges'!L103</f>
        <v>-1.9699999999999998E-6</v>
      </c>
      <c r="M26" s="64"/>
      <c r="N26" s="115"/>
      <c r="O26" s="116"/>
      <c r="P26" s="63">
        <f>'8. Entry and exit charges'!P103</f>
        <v>-2.9290000000000002E-4</v>
      </c>
      <c r="Q26" s="63">
        <f>'8. Entry and exit charges'!Q103</f>
        <v>-1.1770000000000001E-5</v>
      </c>
      <c r="R26" s="75">
        <f>'8. Entry and exit charges'!R103</f>
        <v>-4.9999999999999998E-7</v>
      </c>
      <c r="T26" s="122"/>
      <c r="U26" s="116"/>
      <c r="V26" s="33">
        <f>'8. Entry and exit charges'!V103</f>
        <v>-1.1716000000000001E-3</v>
      </c>
      <c r="W26" s="33">
        <f>'8. Entry and exit charges'!W103</f>
        <v>-4.7089999999999998E-5</v>
      </c>
      <c r="X26" s="81">
        <f>'8. Entry and exit charges'!X103</f>
        <v>-1.9699999999999998E-6</v>
      </c>
    </row>
    <row r="27" spans="2:24">
      <c r="B27" s="36" t="s">
        <v>5</v>
      </c>
      <c r="C27" s="36"/>
      <c r="D27" s="36"/>
      <c r="E27" s="36"/>
      <c r="F27" s="36"/>
      <c r="G27" s="36"/>
      <c r="H27" s="115"/>
      <c r="I27" s="116"/>
      <c r="J27" s="63">
        <f>'8. Entry and exit charges'!J104</f>
        <v>-1.52564E-3</v>
      </c>
      <c r="K27" s="63">
        <f>'8. Entry and exit charges'!K104</f>
        <v>-5.9349999999999999E-5</v>
      </c>
      <c r="L27" s="75">
        <f>'8. Entry and exit charges'!L104</f>
        <v>-2.48E-6</v>
      </c>
      <c r="M27" s="64"/>
      <c r="N27" s="115"/>
      <c r="O27" s="116"/>
      <c r="P27" s="63">
        <f>'8. Entry and exit charges'!P104</f>
        <v>-3.8141E-4</v>
      </c>
      <c r="Q27" s="63">
        <f>'8. Entry and exit charges'!Q104</f>
        <v>-1.484E-5</v>
      </c>
      <c r="R27" s="75">
        <f>'8. Entry and exit charges'!R104</f>
        <v>-6.1999999999999999E-7</v>
      </c>
      <c r="T27" s="122"/>
      <c r="U27" s="116"/>
      <c r="V27" s="33">
        <f>'8. Entry and exit charges'!V104</f>
        <v>-1.52564E-3</v>
      </c>
      <c r="W27" s="33">
        <f>'8. Entry and exit charges'!W104</f>
        <v>-5.9349999999999999E-5</v>
      </c>
      <c r="X27" s="81">
        <f>'8. Entry and exit charges'!X104</f>
        <v>-2.48E-6</v>
      </c>
    </row>
    <row r="28" spans="2:24">
      <c r="C28" s="36"/>
      <c r="D28" s="36"/>
      <c r="E28" s="36"/>
      <c r="F28" s="36"/>
      <c r="G28" s="36"/>
      <c r="H28" s="36"/>
      <c r="I28" s="36"/>
      <c r="J28" s="36"/>
      <c r="K28" s="36"/>
      <c r="L28" s="76"/>
      <c r="M28" s="36"/>
      <c r="N28" s="36"/>
      <c r="O28" s="36"/>
      <c r="P28" s="36"/>
      <c r="Q28" s="36"/>
      <c r="R28" s="82"/>
    </row>
    <row r="29" spans="2:24" s="21" customFormat="1">
      <c r="B29" s="37" t="s">
        <v>55</v>
      </c>
      <c r="C29" s="37"/>
      <c r="D29" s="37"/>
      <c r="E29" s="37"/>
      <c r="F29" s="37"/>
      <c r="G29" s="37"/>
      <c r="H29" s="37" t="s">
        <v>35</v>
      </c>
      <c r="I29" s="37"/>
      <c r="J29" s="37"/>
      <c r="K29" s="37"/>
      <c r="L29" s="77"/>
      <c r="M29" s="37"/>
      <c r="N29" s="37" t="s">
        <v>0</v>
      </c>
      <c r="O29" s="37"/>
      <c r="P29" s="37"/>
      <c r="Q29" s="37"/>
      <c r="R29" s="77"/>
    </row>
    <row r="30" spans="2:24" s="23" customFormat="1">
      <c r="B30" s="38" t="s">
        <v>56</v>
      </c>
      <c r="C30" s="38"/>
      <c r="D30" s="38"/>
      <c r="E30" s="38"/>
      <c r="F30" s="38"/>
      <c r="G30" s="38"/>
      <c r="H30" s="38" t="s">
        <v>38</v>
      </c>
      <c r="I30" s="38" t="s">
        <v>39</v>
      </c>
      <c r="J30" s="38" t="s">
        <v>40</v>
      </c>
      <c r="K30" s="38" t="s">
        <v>41</v>
      </c>
      <c r="L30" s="78" t="s">
        <v>1</v>
      </c>
      <c r="M30" s="38"/>
      <c r="N30" s="38" t="s">
        <v>38</v>
      </c>
      <c r="O30" s="38" t="s">
        <v>39</v>
      </c>
      <c r="P30" s="38" t="s">
        <v>40</v>
      </c>
      <c r="Q30" s="38" t="s">
        <v>41</v>
      </c>
      <c r="R30" s="78" t="s">
        <v>1</v>
      </c>
    </row>
    <row r="31" spans="2:24" s="22" customFormat="1">
      <c r="B31" s="39"/>
      <c r="C31" s="39"/>
      <c r="D31" s="39"/>
      <c r="E31" s="39"/>
      <c r="F31" s="39"/>
      <c r="G31" s="39"/>
      <c r="H31" s="39" t="s">
        <v>42</v>
      </c>
      <c r="I31" s="39" t="s">
        <v>43</v>
      </c>
      <c r="J31" s="39" t="s">
        <v>44</v>
      </c>
      <c r="K31" s="39" t="s">
        <v>45</v>
      </c>
      <c r="L31" s="79" t="s">
        <v>46</v>
      </c>
      <c r="M31" s="39"/>
      <c r="N31" s="39" t="s">
        <v>42</v>
      </c>
      <c r="O31" s="39" t="s">
        <v>43</v>
      </c>
      <c r="P31" s="39" t="s">
        <v>44</v>
      </c>
      <c r="Q31" s="39" t="s">
        <v>45</v>
      </c>
      <c r="R31" s="79" t="s">
        <v>46</v>
      </c>
    </row>
    <row r="32" spans="2:24">
      <c r="B32" s="36"/>
      <c r="C32" s="36"/>
      <c r="D32" s="36"/>
      <c r="E32" s="36"/>
      <c r="F32" s="36"/>
      <c r="G32" s="36"/>
      <c r="H32" s="36"/>
      <c r="I32" s="36"/>
      <c r="J32" s="36"/>
      <c r="K32" s="36"/>
      <c r="L32" s="76"/>
      <c r="M32" s="36"/>
      <c r="N32" s="36"/>
      <c r="O32" s="36"/>
      <c r="P32" s="36"/>
      <c r="Q32" s="36"/>
      <c r="R32" s="82"/>
    </row>
    <row r="33" spans="2:24">
      <c r="B33" s="36" t="s">
        <v>47</v>
      </c>
      <c r="C33" s="36"/>
      <c r="D33" s="36"/>
      <c r="E33" s="36"/>
      <c r="F33" s="36"/>
      <c r="G33" s="36"/>
      <c r="H33" s="115">
        <f>'8. Entry and exit charges'!H111</f>
        <v>-7.8265599999999998E-3</v>
      </c>
      <c r="I33" s="116">
        <f>'8. Entry and exit charges'!I111</f>
        <v>-3.5750199999999999E-3</v>
      </c>
      <c r="J33" s="63">
        <f>'8. Entry and exit charges'!J111</f>
        <v>-1.7099999999999999E-3</v>
      </c>
      <c r="K33" s="63">
        <f>'8. Entry and exit charges'!K111</f>
        <v>-6.6530000000000002E-5</v>
      </c>
      <c r="L33" s="75">
        <f>'8. Entry and exit charges'!L111</f>
        <v>-2.7800000000000001E-6</v>
      </c>
      <c r="M33" s="36"/>
      <c r="N33" s="115">
        <f>'8. Entry and exit charges'!N111</f>
        <v>-1.9566399999999999E-3</v>
      </c>
      <c r="O33" s="116">
        <f>'8. Entry and exit charges'!O111</f>
        <v>-8.9375999999999995E-4</v>
      </c>
      <c r="P33" s="63">
        <f>'8. Entry and exit charges'!P111</f>
        <v>-4.2749999999999998E-4</v>
      </c>
      <c r="Q33" s="63">
        <f>'8. Entry and exit charges'!Q111</f>
        <v>-1.6629999999999998E-5</v>
      </c>
      <c r="R33" s="75">
        <f>'8. Entry and exit charges'!R111</f>
        <v>-6.9999999999999997E-7</v>
      </c>
    </row>
    <row r="34" spans="2:24">
      <c r="B34" s="36" t="s">
        <v>48</v>
      </c>
      <c r="C34" s="36"/>
      <c r="D34" s="36"/>
      <c r="E34" s="36"/>
      <c r="F34" s="36"/>
      <c r="G34" s="36"/>
      <c r="H34" s="115"/>
      <c r="I34" s="116"/>
      <c r="J34" s="63">
        <f>'8. Entry and exit charges'!J112</f>
        <v>-1.3806000000000001E-3</v>
      </c>
      <c r="K34" s="63">
        <f>'8. Entry and exit charges'!K112</f>
        <v>-5.948E-5</v>
      </c>
      <c r="L34" s="75">
        <f>'8. Entry and exit charges'!L112</f>
        <v>-2.48E-6</v>
      </c>
      <c r="M34" s="36"/>
      <c r="N34" s="115"/>
      <c r="O34" s="116"/>
      <c r="P34" s="63">
        <f>'8. Entry and exit charges'!P112</f>
        <v>-3.4515000000000001E-4</v>
      </c>
      <c r="Q34" s="63">
        <f>'8. Entry and exit charges'!Q112</f>
        <v>-1.487E-5</v>
      </c>
      <c r="R34" s="75">
        <f>'8. Entry and exit charges'!R112</f>
        <v>-6.1999999999999999E-7</v>
      </c>
    </row>
    <row r="35" spans="2:24">
      <c r="B35" s="36" t="s">
        <v>49</v>
      </c>
      <c r="C35" s="36"/>
      <c r="D35" s="36"/>
      <c r="E35" s="36"/>
      <c r="F35" s="36"/>
      <c r="G35" s="36"/>
      <c r="H35" s="115"/>
      <c r="I35" s="116"/>
      <c r="J35" s="63">
        <f>'8. Entry and exit charges'!J113</f>
        <v>-1.1954999999999999E-3</v>
      </c>
      <c r="K35" s="63">
        <f>'8. Entry and exit charges'!K113</f>
        <v>-4.6489999999999997E-5</v>
      </c>
      <c r="L35" s="75">
        <f>'8. Entry and exit charges'!L113</f>
        <v>-1.9400000000000001E-6</v>
      </c>
      <c r="M35" s="36"/>
      <c r="N35" s="115"/>
      <c r="O35" s="116"/>
      <c r="P35" s="63">
        <f>'8. Entry and exit charges'!P113</f>
        <v>-2.9888000000000001E-4</v>
      </c>
      <c r="Q35" s="63">
        <f>'8. Entry and exit charges'!Q113</f>
        <v>-1.1620000000000001E-5</v>
      </c>
      <c r="R35" s="75">
        <f>'8. Entry and exit charges'!R113</f>
        <v>-4.8999999999999997E-7</v>
      </c>
    </row>
    <row r="36" spans="2:24">
      <c r="B36" s="36" t="s">
        <v>2</v>
      </c>
      <c r="C36" s="36"/>
      <c r="D36" s="36"/>
      <c r="E36" s="36"/>
      <c r="F36" s="36"/>
      <c r="G36" s="36"/>
      <c r="H36" s="115"/>
      <c r="I36" s="116">
        <f>'8. Entry and exit charges'!I114</f>
        <v>-1.9122500000000001E-3</v>
      </c>
      <c r="J36" s="63">
        <f>'8. Entry and exit charges'!J114</f>
        <v>-8.6264000000000002E-4</v>
      </c>
      <c r="K36" s="63">
        <f>'8. Entry and exit charges'!K114</f>
        <v>-3.4669999999999998E-5</v>
      </c>
      <c r="L36" s="75">
        <f>'8. Entry and exit charges'!L114</f>
        <v>-1.4499999999999999E-6</v>
      </c>
      <c r="M36" s="36"/>
      <c r="N36" s="115"/>
      <c r="O36" s="116">
        <f>'8. Entry and exit charges'!O114</f>
        <v>-4.7805999999999999E-4</v>
      </c>
      <c r="P36" s="63">
        <f>'8. Entry and exit charges'!P114</f>
        <v>-2.1566000000000001E-4</v>
      </c>
      <c r="Q36" s="63">
        <f>'8. Entry and exit charges'!Q114</f>
        <v>-8.67E-6</v>
      </c>
      <c r="R36" s="75">
        <f>'8. Entry and exit charges'!R114</f>
        <v>-3.7E-7</v>
      </c>
    </row>
    <row r="37" spans="2:24">
      <c r="B37" s="36" t="s">
        <v>50</v>
      </c>
      <c r="C37" s="36"/>
      <c r="D37" s="36"/>
      <c r="E37" s="36"/>
      <c r="F37" s="36"/>
      <c r="G37" s="36"/>
      <c r="H37" s="115"/>
      <c r="I37" s="116"/>
      <c r="J37" s="63">
        <f>'8. Entry and exit charges'!J115</f>
        <v>-7.8969000000000001E-4</v>
      </c>
      <c r="K37" s="63">
        <f>'8. Entry and exit charges'!K115</f>
        <v>-3.0729999999999999E-5</v>
      </c>
      <c r="L37" s="75">
        <f>'8. Entry and exit charges'!L115</f>
        <v>-1.2899999999999999E-6</v>
      </c>
      <c r="M37" s="36"/>
      <c r="N37" s="115"/>
      <c r="O37" s="116"/>
      <c r="P37" s="63">
        <f>'8. Entry and exit charges'!P115</f>
        <v>-1.9741999999999999E-4</v>
      </c>
      <c r="Q37" s="63">
        <f>'8. Entry and exit charges'!Q115</f>
        <v>-7.6799999999999993E-6</v>
      </c>
      <c r="R37" s="75">
        <f>'8. Entry and exit charges'!R115</f>
        <v>-3.3000000000000002E-7</v>
      </c>
    </row>
    <row r="38" spans="2:24">
      <c r="B38" s="36" t="s">
        <v>51</v>
      </c>
      <c r="C38" s="36"/>
      <c r="D38" s="36"/>
      <c r="E38" s="36"/>
      <c r="F38" s="36"/>
      <c r="G38" s="36"/>
      <c r="H38" s="115"/>
      <c r="I38" s="116"/>
      <c r="J38" s="63">
        <f>'8. Entry and exit charges'!J116</f>
        <v>-6.4167E-4</v>
      </c>
      <c r="K38" s="63">
        <f>'8. Entry and exit charges'!K116</f>
        <v>-2.582E-5</v>
      </c>
      <c r="L38" s="75">
        <f>'8. Entry and exit charges'!L116</f>
        <v>-1.0799999999999998E-6</v>
      </c>
      <c r="M38" s="36"/>
      <c r="N38" s="115"/>
      <c r="O38" s="116"/>
      <c r="P38" s="63">
        <f>'8. Entry and exit charges'!P116</f>
        <v>-1.6042000000000001E-4</v>
      </c>
      <c r="Q38" s="63">
        <f>'8. Entry and exit charges'!Q116</f>
        <v>-6.4500000000000001E-6</v>
      </c>
      <c r="R38" s="75">
        <f>'8. Entry and exit charges'!R116</f>
        <v>-2.7000000000000001E-7</v>
      </c>
    </row>
    <row r="39" spans="2:24">
      <c r="B39" s="36" t="s">
        <v>52</v>
      </c>
      <c r="C39" s="36"/>
      <c r="D39" s="36"/>
      <c r="E39" s="36"/>
      <c r="F39" s="36"/>
      <c r="G39" s="36"/>
      <c r="H39" s="115"/>
      <c r="I39" s="116">
        <f>'8. Entry and exit charges'!I117</f>
        <v>-1.55105E-3</v>
      </c>
      <c r="J39" s="63">
        <f>'8. Entry and exit charges'!J117</f>
        <v>-6.2617E-4</v>
      </c>
      <c r="K39" s="63">
        <f>'8. Entry and exit charges'!K117</f>
        <v>-2.4349999999999999E-5</v>
      </c>
      <c r="L39" s="75">
        <f>'8. Entry and exit charges'!L117</f>
        <v>-1.02E-6</v>
      </c>
      <c r="M39" s="36"/>
      <c r="N39" s="115"/>
      <c r="O39" s="116">
        <f>'8. Entry and exit charges'!O117</f>
        <v>-3.8776000000000001E-4</v>
      </c>
      <c r="P39" s="63">
        <f>'8. Entry and exit charges'!P117</f>
        <v>-1.5653999999999999E-4</v>
      </c>
      <c r="Q39" s="63">
        <f>'8. Entry and exit charges'!Q117</f>
        <v>-6.0900000000000001E-6</v>
      </c>
      <c r="R39" s="75">
        <f>'8. Entry and exit charges'!R117</f>
        <v>-2.6E-7</v>
      </c>
    </row>
    <row r="40" spans="2:24">
      <c r="B40" s="36" t="s">
        <v>53</v>
      </c>
      <c r="C40" s="36"/>
      <c r="D40" s="36"/>
      <c r="E40" s="36"/>
      <c r="F40" s="36"/>
      <c r="G40" s="36"/>
      <c r="H40" s="115"/>
      <c r="I40" s="116"/>
      <c r="J40" s="63">
        <f>'8. Entry and exit charges'!J118</f>
        <v>-5.9526000000000002E-4</v>
      </c>
      <c r="K40" s="63">
        <f>'8. Entry and exit charges'!K118</f>
        <v>-2.319E-5</v>
      </c>
      <c r="L40" s="75">
        <f>'8. Entry and exit charges'!L118</f>
        <v>-9.6999999999999982E-7</v>
      </c>
      <c r="M40" s="36"/>
      <c r="N40" s="115"/>
      <c r="O40" s="116"/>
      <c r="P40" s="63">
        <f>'8. Entry and exit charges'!P118</f>
        <v>-1.4881000000000001E-4</v>
      </c>
      <c r="Q40" s="63">
        <f>'8. Entry and exit charges'!Q118</f>
        <v>-5.8000000000000004E-6</v>
      </c>
      <c r="R40" s="75">
        <f>'8. Entry and exit charges'!R118</f>
        <v>-2.4999999999999999E-7</v>
      </c>
    </row>
    <row r="41" spans="2:24">
      <c r="B41" s="36" t="s">
        <v>3</v>
      </c>
      <c r="C41" s="36"/>
      <c r="D41" s="36"/>
      <c r="E41" s="36"/>
      <c r="F41" s="36"/>
      <c r="G41" s="36"/>
      <c r="H41" s="115"/>
      <c r="I41" s="116"/>
      <c r="J41" s="63">
        <f>'8. Entry and exit charges'!J119</f>
        <v>-6.3973999999999997E-4</v>
      </c>
      <c r="K41" s="63">
        <f>'8. Entry and exit charges'!K119</f>
        <v>-2.5740000000000001E-5</v>
      </c>
      <c r="L41" s="75">
        <f>'8. Entry and exit charges'!L119</f>
        <v>-1.0799999999999998E-6</v>
      </c>
      <c r="M41" s="36"/>
      <c r="N41" s="115"/>
      <c r="O41" s="116"/>
      <c r="P41" s="63">
        <f>'8. Entry and exit charges'!P119</f>
        <v>-1.5993999999999999E-4</v>
      </c>
      <c r="Q41" s="63">
        <f>'8. Entry and exit charges'!Q119</f>
        <v>-6.4400000000000002E-6</v>
      </c>
      <c r="R41" s="75">
        <f>'8. Entry and exit charges'!R119</f>
        <v>-2.7000000000000001E-7</v>
      </c>
    </row>
    <row r="42" spans="2:24">
      <c r="B42" s="36" t="s">
        <v>54</v>
      </c>
      <c r="C42" s="36"/>
      <c r="D42" s="36"/>
      <c r="E42" s="36"/>
      <c r="F42" s="36"/>
      <c r="G42" s="36"/>
      <c r="H42" s="115"/>
      <c r="I42" s="116">
        <f>'8. Entry and exit charges'!I120</f>
        <v>-2.7248200000000002E-3</v>
      </c>
      <c r="J42" s="63">
        <f>'8. Entry and exit charges'!J120</f>
        <v>-7.5878000000000002E-4</v>
      </c>
      <c r="K42" s="63">
        <f>'8. Entry and exit charges'!K120</f>
        <v>-2.953E-5</v>
      </c>
      <c r="L42" s="75">
        <f>'8. Entry and exit charges'!L120</f>
        <v>-1.24E-6</v>
      </c>
      <c r="M42" s="36"/>
      <c r="N42" s="115"/>
      <c r="O42" s="116">
        <f>'8. Entry and exit charges'!O120</f>
        <v>-6.8121000000000002E-4</v>
      </c>
      <c r="P42" s="63">
        <f>'8. Entry and exit charges'!P120</f>
        <v>-1.8969000000000001E-4</v>
      </c>
      <c r="Q42" s="63">
        <f>'8. Entry and exit charges'!Q120</f>
        <v>-7.3799999999999996E-6</v>
      </c>
      <c r="R42" s="75">
        <f>'8. Entry and exit charges'!R120</f>
        <v>-3.1E-7</v>
      </c>
    </row>
    <row r="43" spans="2:24">
      <c r="B43" s="36" t="s">
        <v>4</v>
      </c>
      <c r="C43" s="36"/>
      <c r="D43" s="36"/>
      <c r="E43" s="36"/>
      <c r="F43" s="36"/>
      <c r="G43" s="36"/>
      <c r="H43" s="115"/>
      <c r="I43" s="116"/>
      <c r="J43" s="63">
        <f>'8. Entry and exit charges'!J121</f>
        <v>-1.0903600000000001E-3</v>
      </c>
      <c r="K43" s="63">
        <f>'8. Entry and exit charges'!K121</f>
        <v>-4.3829999999999999E-5</v>
      </c>
      <c r="L43" s="75">
        <f>'8. Entry and exit charges'!L121</f>
        <v>-1.8299999999999998E-6</v>
      </c>
      <c r="M43" s="36"/>
      <c r="N43" s="115"/>
      <c r="O43" s="116"/>
      <c r="P43" s="63">
        <f>'8. Entry and exit charges'!P121</f>
        <v>-2.7259000000000002E-4</v>
      </c>
      <c r="Q43" s="63">
        <f>'8. Entry and exit charges'!Q121</f>
        <v>-1.096E-5</v>
      </c>
      <c r="R43" s="75">
        <f>'8. Entry and exit charges'!R121</f>
        <v>-4.5999999999999999E-7</v>
      </c>
    </row>
    <row r="44" spans="2:24">
      <c r="B44" s="36" t="s">
        <v>5</v>
      </c>
      <c r="C44" s="36"/>
      <c r="D44" s="36"/>
      <c r="E44" s="36"/>
      <c r="F44" s="36"/>
      <c r="G44" s="36"/>
      <c r="H44" s="115"/>
      <c r="I44" s="116"/>
      <c r="J44" s="63">
        <f>'8. Entry and exit charges'!J122</f>
        <v>-1.4198399999999999E-3</v>
      </c>
      <c r="K44" s="63">
        <f>'8. Entry and exit charges'!K122</f>
        <v>-5.524E-5</v>
      </c>
      <c r="L44" s="75">
        <f>'8. Entry and exit charges'!L122</f>
        <v>-2.3099999999999999E-6</v>
      </c>
      <c r="M44" s="36"/>
      <c r="N44" s="115"/>
      <c r="O44" s="116"/>
      <c r="P44" s="63">
        <f>'8. Entry and exit charges'!P122</f>
        <v>-3.5495999999999998E-4</v>
      </c>
      <c r="Q44" s="63">
        <f>'8. Entry and exit charges'!Q122</f>
        <v>-1.381E-5</v>
      </c>
      <c r="R44" s="75">
        <f>'8. Entry and exit charges'!R122</f>
        <v>-5.8000000000000006E-7</v>
      </c>
    </row>
    <row r="45" spans="2:24">
      <c r="H45" s="56"/>
      <c r="I45" s="60"/>
      <c r="J45" s="61"/>
      <c r="K45" s="61"/>
      <c r="L45" s="80"/>
      <c r="N45" s="56"/>
      <c r="O45" s="60"/>
      <c r="P45" s="61"/>
      <c r="Q45" s="61"/>
      <c r="R45" s="83"/>
    </row>
    <row r="46" spans="2:24" s="21" customFormat="1">
      <c r="B46" s="55" t="s">
        <v>57</v>
      </c>
      <c r="H46" s="21" t="s">
        <v>35</v>
      </c>
      <c r="N46" s="21" t="s">
        <v>0</v>
      </c>
      <c r="T46" s="21" t="s">
        <v>61</v>
      </c>
    </row>
    <row r="47" spans="2:24" s="23" customFormat="1">
      <c r="B47" s="23" t="s">
        <v>58</v>
      </c>
      <c r="H47" s="23" t="s">
        <v>38</v>
      </c>
      <c r="I47" s="23" t="s">
        <v>39</v>
      </c>
      <c r="J47" s="23" t="s">
        <v>40</v>
      </c>
      <c r="K47" s="23" t="s">
        <v>41</v>
      </c>
      <c r="L47" s="23" t="s">
        <v>1</v>
      </c>
      <c r="N47" s="23" t="s">
        <v>38</v>
      </c>
      <c r="O47" s="23" t="s">
        <v>39</v>
      </c>
      <c r="P47" s="23" t="s">
        <v>40</v>
      </c>
      <c r="Q47" s="23" t="s">
        <v>41</v>
      </c>
      <c r="R47" s="23" t="s">
        <v>1</v>
      </c>
      <c r="T47" s="23" t="s">
        <v>38</v>
      </c>
      <c r="U47" s="23" t="s">
        <v>39</v>
      </c>
      <c r="V47" s="23" t="s">
        <v>40</v>
      </c>
      <c r="W47" s="23" t="s">
        <v>41</v>
      </c>
      <c r="X47" s="23" t="s">
        <v>1</v>
      </c>
    </row>
    <row r="48" spans="2:24" s="22" customFormat="1">
      <c r="H48" s="22" t="s">
        <v>42</v>
      </c>
      <c r="I48" s="22" t="s">
        <v>43</v>
      </c>
      <c r="J48" s="22" t="s">
        <v>44</v>
      </c>
      <c r="K48" s="22" t="s">
        <v>45</v>
      </c>
      <c r="L48" s="22" t="s">
        <v>46</v>
      </c>
      <c r="N48" s="22" t="s">
        <v>42</v>
      </c>
      <c r="O48" s="22" t="s">
        <v>43</v>
      </c>
      <c r="P48" s="22" t="s">
        <v>44</v>
      </c>
      <c r="Q48" s="22" t="s">
        <v>45</v>
      </c>
      <c r="R48" s="22" t="s">
        <v>46</v>
      </c>
      <c r="T48" s="22" t="s">
        <v>42</v>
      </c>
      <c r="U48" s="22" t="s">
        <v>43</v>
      </c>
      <c r="V48" s="22" t="s">
        <v>44</v>
      </c>
      <c r="W48" s="22" t="s">
        <v>45</v>
      </c>
      <c r="X48" s="22" t="s">
        <v>46</v>
      </c>
    </row>
    <row r="49" spans="2:24">
      <c r="J49" s="41"/>
      <c r="L49" s="71"/>
      <c r="R49" s="84"/>
    </row>
    <row r="50" spans="2:24">
      <c r="B50" s="3" t="s">
        <v>47</v>
      </c>
      <c r="H50" s="115">
        <f>'8. Entry and exit charges'!H129</f>
        <v>-8.4089000000000004E-3</v>
      </c>
      <c r="I50" s="116">
        <f>'8. Entry and exit charges'!I129</f>
        <v>-3.8410200000000001E-3</v>
      </c>
      <c r="J50" s="111">
        <f>'8. Entry and exit charges'!J129</f>
        <v>-1.83723E-3</v>
      </c>
      <c r="K50" s="111">
        <f>'8. Entry and exit charges'!K129</f>
        <v>-7.148E-5</v>
      </c>
      <c r="L50" s="81">
        <f>'8. Entry and exit charges'!L129</f>
        <v>-2.9799999999999998E-6</v>
      </c>
      <c r="N50" s="123">
        <f>'8. Entry and exit charges'!N129</f>
        <v>-2.1022200000000001E-3</v>
      </c>
      <c r="O50" s="121">
        <f>'8. Entry and exit charges'!O129</f>
        <v>-9.6026E-4</v>
      </c>
      <c r="P50" s="112">
        <f>'8. Entry and exit charges'!P129</f>
        <v>-4.5930999999999999E-4</v>
      </c>
      <c r="Q50" s="112">
        <f>'8. Entry and exit charges'!Q129</f>
        <v>-1.787E-5</v>
      </c>
      <c r="R50" s="100">
        <f>'8. Entry and exit charges'!R129</f>
        <v>-7.5000000000000002E-7</v>
      </c>
      <c r="T50" s="120">
        <f>'8. Entry and exit charges'!T129</f>
        <v>-8.4089000000000004E-3</v>
      </c>
      <c r="U50" s="121">
        <f>'8. Entry and exit charges'!U129</f>
        <v>-3.8410200000000001E-3</v>
      </c>
      <c r="V50" s="33">
        <f>'8. Entry and exit charges'!V129</f>
        <v>-1.83723E-3</v>
      </c>
      <c r="W50" s="33">
        <f>'8. Entry and exit charges'!W129</f>
        <v>-7.148E-5</v>
      </c>
      <c r="X50" s="81">
        <f>'8. Entry and exit charges'!X129</f>
        <v>-2.9799999999999998E-6</v>
      </c>
    </row>
    <row r="51" spans="2:24">
      <c r="B51" s="3" t="s">
        <v>48</v>
      </c>
      <c r="H51" s="115"/>
      <c r="I51" s="116"/>
      <c r="J51" s="111">
        <f>'8. Entry and exit charges'!J130</f>
        <v>-1.4833299999999999E-3</v>
      </c>
      <c r="K51" s="111">
        <f>'8. Entry and exit charges'!K130</f>
        <v>-6.3899999999999995E-5</v>
      </c>
      <c r="L51" s="81">
        <f>'8. Entry and exit charges'!L130</f>
        <v>-2.6699999999999998E-6</v>
      </c>
      <c r="N51" s="123"/>
      <c r="O51" s="121"/>
      <c r="P51" s="112">
        <f>'8. Entry and exit charges'!P130</f>
        <v>-3.7083E-4</v>
      </c>
      <c r="Q51" s="112">
        <f>'8. Entry and exit charges'!Q130</f>
        <v>-1.5979999999999999E-5</v>
      </c>
      <c r="R51" s="100">
        <f>'8. Entry and exit charges'!R130</f>
        <v>-6.7000000000000004E-7</v>
      </c>
      <c r="T51" s="120"/>
      <c r="U51" s="121"/>
      <c r="V51" s="33">
        <f>'8. Entry and exit charges'!V130</f>
        <v>-1.4833299999999999E-3</v>
      </c>
      <c r="W51" s="33">
        <f>'8. Entry and exit charges'!W130</f>
        <v>-6.3899999999999995E-5</v>
      </c>
      <c r="X51" s="81">
        <f>'8. Entry and exit charges'!X130</f>
        <v>-2.6699999999999998E-6</v>
      </c>
    </row>
    <row r="52" spans="2:24">
      <c r="B52" s="3" t="s">
        <v>49</v>
      </c>
      <c r="H52" s="115"/>
      <c r="I52" s="116"/>
      <c r="J52" s="111">
        <f>'8. Entry and exit charges'!J131</f>
        <v>-1.2844499999999999E-3</v>
      </c>
      <c r="K52" s="111">
        <f>'8. Entry and exit charges'!K131</f>
        <v>-4.9950000000000001E-5</v>
      </c>
      <c r="L52" s="81">
        <f>'8. Entry and exit charges'!L131</f>
        <v>-2.0899999999999999E-6</v>
      </c>
      <c r="N52" s="123"/>
      <c r="O52" s="121"/>
      <c r="P52" s="112">
        <f>'8. Entry and exit charges'!P131</f>
        <v>-3.2110999999999999E-4</v>
      </c>
      <c r="Q52" s="112">
        <f>'8. Entry and exit charges'!Q131</f>
        <v>-1.2490000000000001E-5</v>
      </c>
      <c r="R52" s="100">
        <f>'8. Entry and exit charges'!R131</f>
        <v>-5.3000000000000001E-7</v>
      </c>
      <c r="T52" s="120"/>
      <c r="U52" s="121"/>
      <c r="V52" s="33">
        <f>'8. Entry and exit charges'!V131</f>
        <v>-1.2844499999999999E-3</v>
      </c>
      <c r="W52" s="33">
        <f>'8. Entry and exit charges'!W131</f>
        <v>-4.9950000000000001E-5</v>
      </c>
      <c r="X52" s="81">
        <f>'8. Entry and exit charges'!X131</f>
        <v>-2.0899999999999999E-6</v>
      </c>
    </row>
    <row r="53" spans="2:24">
      <c r="B53" s="3" t="s">
        <v>2</v>
      </c>
      <c r="H53" s="115"/>
      <c r="I53" s="116">
        <f>'8. Entry and exit charges'!I132</f>
        <v>-2.0545400000000001E-3</v>
      </c>
      <c r="J53" s="111">
        <f>'8. Entry and exit charges'!J132</f>
        <v>-9.2681999999999997E-4</v>
      </c>
      <c r="K53" s="111">
        <f>'8. Entry and exit charges'!K132</f>
        <v>-3.7249999999999997E-5</v>
      </c>
      <c r="L53" s="81">
        <f>'8. Entry and exit charges'!L132</f>
        <v>-1.5599999999999999E-6</v>
      </c>
      <c r="N53" s="123"/>
      <c r="O53" s="121">
        <f>'8. Entry and exit charges'!O132</f>
        <v>-5.1362999999999995E-4</v>
      </c>
      <c r="P53" s="112">
        <f>'8. Entry and exit charges'!P132</f>
        <v>-2.3170999999999999E-4</v>
      </c>
      <c r="Q53" s="112">
        <f>'8. Entry and exit charges'!Q132</f>
        <v>-9.3100000000000006E-6</v>
      </c>
      <c r="R53" s="100">
        <f>'8. Entry and exit charges'!R132</f>
        <v>-3.9000000000000002E-7</v>
      </c>
      <c r="T53" s="120"/>
      <c r="U53" s="121">
        <f>'8. Entry and exit charges'!U132</f>
        <v>-2.0545400000000001E-3</v>
      </c>
      <c r="V53" s="33">
        <f>'8. Entry and exit charges'!V132</f>
        <v>-9.2681999999999997E-4</v>
      </c>
      <c r="W53" s="33">
        <f>'8. Entry and exit charges'!W132</f>
        <v>-3.7249999999999997E-5</v>
      </c>
      <c r="X53" s="81">
        <f>'8. Entry and exit charges'!X132</f>
        <v>-1.5599999999999999E-6</v>
      </c>
    </row>
    <row r="54" spans="2:24">
      <c r="B54" s="3" t="s">
        <v>50</v>
      </c>
      <c r="H54" s="115"/>
      <c r="I54" s="116"/>
      <c r="J54" s="111">
        <f>'8. Entry and exit charges'!J133</f>
        <v>-8.4845000000000005E-4</v>
      </c>
      <c r="K54" s="111">
        <f>'8. Entry and exit charges'!K133</f>
        <v>-3.3019999999999999E-5</v>
      </c>
      <c r="L54" s="81">
        <f>'8. Entry and exit charges'!L133</f>
        <v>-1.3799999999999999E-6</v>
      </c>
      <c r="N54" s="123"/>
      <c r="O54" s="121"/>
      <c r="P54" s="112">
        <f>'8. Entry and exit charges'!P133</f>
        <v>-2.1211E-4</v>
      </c>
      <c r="Q54" s="112">
        <f>'8. Entry and exit charges'!Q133</f>
        <v>-8.2500000000000006E-6</v>
      </c>
      <c r="R54" s="100">
        <f>'8. Entry and exit charges'!R133</f>
        <v>-3.4999999999999998E-7</v>
      </c>
      <c r="T54" s="120"/>
      <c r="U54" s="121"/>
      <c r="V54" s="33">
        <f>'8. Entry and exit charges'!V133</f>
        <v>-8.4845000000000005E-4</v>
      </c>
      <c r="W54" s="33">
        <f>'8. Entry and exit charges'!W133</f>
        <v>-3.3019999999999999E-5</v>
      </c>
      <c r="X54" s="81">
        <f>'8. Entry and exit charges'!X133</f>
        <v>-1.3799999999999999E-6</v>
      </c>
    </row>
    <row r="55" spans="2:24">
      <c r="B55" s="3" t="s">
        <v>51</v>
      </c>
      <c r="H55" s="115"/>
      <c r="I55" s="116"/>
      <c r="J55" s="111">
        <f>'8. Entry and exit charges'!J134</f>
        <v>-6.8941E-4</v>
      </c>
      <c r="K55" s="111">
        <f>'8. Entry and exit charges'!K134</f>
        <v>-2.7739999999999999E-5</v>
      </c>
      <c r="L55" s="81">
        <f>'8. Entry and exit charges'!L134</f>
        <v>-1.1599999999999999E-6</v>
      </c>
      <c r="N55" s="123"/>
      <c r="O55" s="121"/>
      <c r="P55" s="112">
        <f>'8. Entry and exit charges'!P134</f>
        <v>-1.7234999999999999E-4</v>
      </c>
      <c r="Q55" s="112">
        <f>'8. Entry and exit charges'!Q134</f>
        <v>-6.9299999999999997E-6</v>
      </c>
      <c r="R55" s="100">
        <f>'8. Entry and exit charges'!R134</f>
        <v>-2.9000000000000003E-7</v>
      </c>
      <c r="T55" s="120"/>
      <c r="U55" s="121"/>
      <c r="V55" s="33">
        <f>'8. Entry and exit charges'!V134</f>
        <v>-6.8941E-4</v>
      </c>
      <c r="W55" s="33">
        <f>'8. Entry and exit charges'!W134</f>
        <v>-2.7739999999999999E-5</v>
      </c>
      <c r="X55" s="81">
        <f>'8. Entry and exit charges'!X134</f>
        <v>-1.1599999999999999E-6</v>
      </c>
    </row>
    <row r="56" spans="2:24">
      <c r="B56" s="3" t="s">
        <v>52</v>
      </c>
      <c r="H56" s="115"/>
      <c r="I56" s="116">
        <f>'8. Entry and exit charges'!I135</f>
        <v>-1.66646E-3</v>
      </c>
      <c r="J56" s="111">
        <f>'8. Entry and exit charges'!J135</f>
        <v>-6.7276E-4</v>
      </c>
      <c r="K56" s="111">
        <f>'8. Entry and exit charges'!K135</f>
        <v>-2.6169999999999998E-5</v>
      </c>
      <c r="L56" s="81">
        <f>'8. Entry and exit charges'!L135</f>
        <v>-1.0999999999999998E-6</v>
      </c>
      <c r="N56" s="123"/>
      <c r="O56" s="121">
        <f>'8. Entry and exit charges'!O135</f>
        <v>-4.1660999999999998E-4</v>
      </c>
      <c r="P56" s="112">
        <f>'8. Entry and exit charges'!P135</f>
        <v>-1.6819E-4</v>
      </c>
      <c r="Q56" s="112">
        <f>'8. Entry and exit charges'!Q135</f>
        <v>-6.5400000000000001E-6</v>
      </c>
      <c r="R56" s="100">
        <f>'8. Entry and exit charges'!R135</f>
        <v>-2.8000000000000002E-7</v>
      </c>
      <c r="T56" s="120"/>
      <c r="U56" s="121">
        <f>'8. Entry and exit charges'!U135</f>
        <v>-1.66646E-3</v>
      </c>
      <c r="V56" s="33">
        <f>'8. Entry and exit charges'!V135</f>
        <v>-6.7276E-4</v>
      </c>
      <c r="W56" s="33">
        <f>'8. Entry and exit charges'!W135</f>
        <v>-2.6169999999999998E-5</v>
      </c>
      <c r="X56" s="81">
        <f>'8. Entry and exit charges'!X135</f>
        <v>-1.0999999999999998E-6</v>
      </c>
    </row>
    <row r="57" spans="2:24">
      <c r="B57" s="3" t="s">
        <v>53</v>
      </c>
      <c r="H57" s="115"/>
      <c r="I57" s="116"/>
      <c r="J57" s="111">
        <f>'8. Entry and exit charges'!J136</f>
        <v>-6.3955000000000001E-4</v>
      </c>
      <c r="K57" s="111">
        <f>'8. Entry and exit charges'!K136</f>
        <v>-2.4919999999999999E-5</v>
      </c>
      <c r="L57" s="81">
        <f>'8. Entry and exit charges'!L136</f>
        <v>-1.04E-6</v>
      </c>
      <c r="N57" s="123"/>
      <c r="O57" s="121"/>
      <c r="P57" s="112">
        <f>'8. Entry and exit charges'!P136</f>
        <v>-1.5988999999999999E-4</v>
      </c>
      <c r="Q57" s="112">
        <f>'8. Entry and exit charges'!Q136</f>
        <v>-6.2299999999999996E-6</v>
      </c>
      <c r="R57" s="100">
        <f>'8. Entry and exit charges'!R136</f>
        <v>-2.6E-7</v>
      </c>
      <c r="T57" s="120"/>
      <c r="U57" s="121"/>
      <c r="V57" s="33">
        <f>'8. Entry and exit charges'!V136</f>
        <v>-6.3955000000000001E-4</v>
      </c>
      <c r="W57" s="33">
        <f>'8. Entry and exit charges'!W136</f>
        <v>-2.4919999999999999E-5</v>
      </c>
      <c r="X57" s="81">
        <f>'8. Entry and exit charges'!X136</f>
        <v>-1.04E-6</v>
      </c>
    </row>
    <row r="58" spans="2:24">
      <c r="B58" s="3" t="s">
        <v>3</v>
      </c>
      <c r="H58" s="115"/>
      <c r="I58" s="116"/>
      <c r="J58" s="111">
        <f>'8. Entry and exit charges'!J137</f>
        <v>-6.8734000000000004E-4</v>
      </c>
      <c r="K58" s="111">
        <f>'8. Entry and exit charges'!K137</f>
        <v>-2.7659999999999999E-5</v>
      </c>
      <c r="L58" s="81">
        <f>'8. Entry and exit charges'!L137</f>
        <v>-1.1599999999999999E-6</v>
      </c>
      <c r="N58" s="123"/>
      <c r="O58" s="121"/>
      <c r="P58" s="112">
        <f>'8. Entry and exit charges'!P137</f>
        <v>-1.7184000000000001E-4</v>
      </c>
      <c r="Q58" s="112">
        <f>'8. Entry and exit charges'!Q137</f>
        <v>-6.9099999999999999E-6</v>
      </c>
      <c r="R58" s="100">
        <f>'8. Entry and exit charges'!R137</f>
        <v>-2.9000000000000003E-7</v>
      </c>
      <c r="T58" s="120"/>
      <c r="U58" s="121"/>
      <c r="V58" s="33">
        <f>'8. Entry and exit charges'!V137</f>
        <v>-6.8734000000000004E-4</v>
      </c>
      <c r="W58" s="33">
        <f>'8. Entry and exit charges'!W137</f>
        <v>-2.7659999999999999E-5</v>
      </c>
      <c r="X58" s="81">
        <f>'8. Entry and exit charges'!X137</f>
        <v>-1.1599999999999999E-6</v>
      </c>
    </row>
    <row r="59" spans="2:24">
      <c r="B59" s="3" t="s">
        <v>54</v>
      </c>
      <c r="H59" s="115"/>
      <c r="I59" s="116">
        <f>'8. Entry and exit charges'!I138</f>
        <v>-2.9275600000000001E-3</v>
      </c>
      <c r="J59" s="111">
        <f>'8. Entry and exit charges'!J138</f>
        <v>-8.1523999999999995E-4</v>
      </c>
      <c r="K59" s="111">
        <f>'8. Entry and exit charges'!K138</f>
        <v>-3.1730000000000003E-5</v>
      </c>
      <c r="L59" s="81">
        <f>'8. Entry and exit charges'!L138</f>
        <v>-1.33E-6</v>
      </c>
      <c r="N59" s="123"/>
      <c r="O59" s="121">
        <f>'8. Entry and exit charges'!O138</f>
        <v>-7.3189000000000001E-4</v>
      </c>
      <c r="P59" s="112">
        <f>'8. Entry and exit charges'!P138</f>
        <v>-2.0380999999999999E-4</v>
      </c>
      <c r="Q59" s="112">
        <f>'8. Entry and exit charges'!Q138</f>
        <v>-7.9300000000000003E-6</v>
      </c>
      <c r="R59" s="100">
        <f>'8. Entry and exit charges'!R138</f>
        <v>-3.4000000000000003E-7</v>
      </c>
      <c r="T59" s="120"/>
      <c r="U59" s="121">
        <f>'8. Entry and exit charges'!U138</f>
        <v>-2.9275600000000001E-3</v>
      </c>
      <c r="V59" s="33">
        <f>'8. Entry and exit charges'!V138</f>
        <v>-8.1523999999999995E-4</v>
      </c>
      <c r="W59" s="33">
        <f>'8. Entry and exit charges'!W138</f>
        <v>-3.1730000000000003E-5</v>
      </c>
      <c r="X59" s="81">
        <f>'8. Entry and exit charges'!X138</f>
        <v>-1.33E-6</v>
      </c>
    </row>
    <row r="60" spans="2:24">
      <c r="B60" s="3" t="s">
        <v>4</v>
      </c>
      <c r="H60" s="115"/>
      <c r="I60" s="116"/>
      <c r="J60" s="111">
        <f>'8. Entry and exit charges'!J139</f>
        <v>-1.1714900000000001E-3</v>
      </c>
      <c r="K60" s="111">
        <f>'8. Entry and exit charges'!K139</f>
        <v>-4.7089999999999998E-5</v>
      </c>
      <c r="L60" s="81">
        <f>'8. Entry and exit charges'!L139</f>
        <v>-1.9699999999999998E-6</v>
      </c>
      <c r="N60" s="123"/>
      <c r="O60" s="121"/>
      <c r="P60" s="112">
        <f>'8. Entry and exit charges'!P139</f>
        <v>-2.9286999999999998E-4</v>
      </c>
      <c r="Q60" s="112">
        <f>'8. Entry and exit charges'!Q139</f>
        <v>-1.1770000000000001E-5</v>
      </c>
      <c r="R60" s="100">
        <f>'8. Entry and exit charges'!R139</f>
        <v>-4.9999999999999998E-7</v>
      </c>
      <c r="T60" s="120"/>
      <c r="U60" s="121"/>
      <c r="V60" s="33">
        <f>'8. Entry and exit charges'!V139</f>
        <v>-1.1714900000000001E-3</v>
      </c>
      <c r="W60" s="33">
        <f>'8. Entry and exit charges'!W139</f>
        <v>-4.7089999999999998E-5</v>
      </c>
      <c r="X60" s="81">
        <f>'8. Entry and exit charges'!X139</f>
        <v>-1.9699999999999998E-6</v>
      </c>
    </row>
    <row r="61" spans="2:24">
      <c r="B61" s="3" t="s">
        <v>5</v>
      </c>
      <c r="H61" s="115"/>
      <c r="I61" s="116"/>
      <c r="J61" s="111">
        <f>'8. Entry and exit charges'!J140</f>
        <v>-1.52549E-3</v>
      </c>
      <c r="K61" s="111">
        <f>'8. Entry and exit charges'!K140</f>
        <v>-5.9349999999999999E-5</v>
      </c>
      <c r="L61" s="81">
        <f>'8. Entry and exit charges'!L140</f>
        <v>-2.48E-6</v>
      </c>
      <c r="N61" s="123"/>
      <c r="O61" s="121"/>
      <c r="P61" s="112">
        <f>'8. Entry and exit charges'!P140</f>
        <v>-3.8137000000000002E-4</v>
      </c>
      <c r="Q61" s="112">
        <f>'8. Entry and exit charges'!Q140</f>
        <v>-1.484E-5</v>
      </c>
      <c r="R61" s="100">
        <f>'8. Entry and exit charges'!R140</f>
        <v>-6.1999999999999999E-7</v>
      </c>
      <c r="T61" s="120"/>
      <c r="U61" s="121"/>
      <c r="V61" s="33">
        <f>'8. Entry and exit charges'!V140</f>
        <v>-1.52549E-3</v>
      </c>
      <c r="W61" s="33">
        <f>'8. Entry and exit charges'!W140</f>
        <v>-5.9349999999999999E-5</v>
      </c>
      <c r="X61" s="81">
        <f>'8. Entry and exit charges'!X140</f>
        <v>-2.48E-6</v>
      </c>
    </row>
    <row r="62" spans="2:24">
      <c r="L62" s="71"/>
      <c r="R62" s="84"/>
    </row>
    <row r="63" spans="2:24" s="21" customFormat="1">
      <c r="B63" s="55" t="s">
        <v>59</v>
      </c>
      <c r="H63" s="21" t="s">
        <v>35</v>
      </c>
      <c r="N63" s="21" t="s">
        <v>0</v>
      </c>
    </row>
    <row r="64" spans="2:24" s="23" customFormat="1">
      <c r="B64" s="23" t="s">
        <v>60</v>
      </c>
      <c r="H64" s="23" t="s">
        <v>38</v>
      </c>
      <c r="I64" s="23" t="s">
        <v>39</v>
      </c>
      <c r="J64" s="23" t="s">
        <v>40</v>
      </c>
      <c r="K64" s="23" t="s">
        <v>41</v>
      </c>
      <c r="L64" s="23" t="s">
        <v>1</v>
      </c>
      <c r="N64" s="23" t="s">
        <v>38</v>
      </c>
      <c r="O64" s="23" t="s">
        <v>39</v>
      </c>
      <c r="P64" s="23" t="s">
        <v>40</v>
      </c>
      <c r="Q64" s="23" t="s">
        <v>41</v>
      </c>
      <c r="R64" s="23" t="s">
        <v>1</v>
      </c>
    </row>
    <row r="65" spans="2:18" s="22" customFormat="1">
      <c r="H65" s="22" t="s">
        <v>42</v>
      </c>
      <c r="I65" s="22" t="s">
        <v>43</v>
      </c>
      <c r="J65" s="22" t="s">
        <v>44</v>
      </c>
      <c r="K65" s="22" t="s">
        <v>45</v>
      </c>
      <c r="L65" s="22" t="s">
        <v>46</v>
      </c>
      <c r="N65" s="22" t="s">
        <v>42</v>
      </c>
      <c r="O65" s="22" t="s">
        <v>43</v>
      </c>
      <c r="P65" s="22" t="s">
        <v>44</v>
      </c>
      <c r="Q65" s="22" t="s">
        <v>45</v>
      </c>
      <c r="R65" s="22" t="s">
        <v>46</v>
      </c>
    </row>
    <row r="66" spans="2:18">
      <c r="L66" s="71"/>
      <c r="R66" s="84"/>
    </row>
    <row r="67" spans="2:18">
      <c r="B67" s="3" t="s">
        <v>47</v>
      </c>
      <c r="H67" s="115">
        <f>'8. Entry and exit charges'!H146</f>
        <v>-7.8257699999999993E-3</v>
      </c>
      <c r="I67" s="119">
        <f>'8. Entry and exit charges'!I146</f>
        <v>-3.5746599999999999E-3</v>
      </c>
      <c r="J67" s="111">
        <f>'8. Entry and exit charges'!J146</f>
        <v>-1.7098199999999999E-3</v>
      </c>
      <c r="K67" s="111">
        <f>'8. Entry and exit charges'!K146</f>
        <v>-6.6519999999999993E-5</v>
      </c>
      <c r="L67" s="81">
        <f>'8. Entry and exit charges'!L146</f>
        <v>-2.7800000000000001E-6</v>
      </c>
      <c r="N67" s="115">
        <f>'8. Entry and exit charges'!N146</f>
        <v>-1.9564399999999998E-3</v>
      </c>
      <c r="O67" s="116">
        <f>'8. Entry and exit charges'!O146</f>
        <v>-8.9366999999999995E-4</v>
      </c>
      <c r="P67" s="111">
        <f>'8. Entry and exit charges'!P146</f>
        <v>-4.2746E-4</v>
      </c>
      <c r="Q67" s="111">
        <f>'8. Entry and exit charges'!Q146</f>
        <v>-1.6629999999999998E-5</v>
      </c>
      <c r="R67" s="81">
        <f>'8. Entry and exit charges'!R146</f>
        <v>-6.9999999999999997E-7</v>
      </c>
    </row>
    <row r="68" spans="2:18">
      <c r="B68" s="3" t="s">
        <v>48</v>
      </c>
      <c r="H68" s="115"/>
      <c r="I68" s="119"/>
      <c r="J68" s="111">
        <f>'8. Entry and exit charges'!J147</f>
        <v>-1.38047E-3</v>
      </c>
      <c r="K68" s="111">
        <f>'8. Entry and exit charges'!K147</f>
        <v>-5.9469999999999998E-5</v>
      </c>
      <c r="L68" s="81">
        <f>'8. Entry and exit charges'!L147</f>
        <v>-2.48E-6</v>
      </c>
      <c r="N68" s="115"/>
      <c r="O68" s="116"/>
      <c r="P68" s="111">
        <f>'8. Entry and exit charges'!P147</f>
        <v>-3.4511999999999998E-4</v>
      </c>
      <c r="Q68" s="111">
        <f>'8. Entry and exit charges'!Q147</f>
        <v>-1.487E-5</v>
      </c>
      <c r="R68" s="81">
        <f>'8. Entry and exit charges'!R147</f>
        <v>-6.1999999999999999E-7</v>
      </c>
    </row>
    <row r="69" spans="2:18">
      <c r="B69" s="3" t="s">
        <v>49</v>
      </c>
      <c r="H69" s="115"/>
      <c r="I69" s="119"/>
      <c r="J69" s="111">
        <f>'8. Entry and exit charges'!J148</f>
        <v>-1.19538E-3</v>
      </c>
      <c r="K69" s="111">
        <f>'8. Entry and exit charges'!K148</f>
        <v>-4.6489999999999997E-5</v>
      </c>
      <c r="L69" s="81">
        <f>'8. Entry and exit charges'!L148</f>
        <v>-1.9400000000000001E-6</v>
      </c>
      <c r="N69" s="115"/>
      <c r="O69" s="116"/>
      <c r="P69" s="111">
        <f>'8. Entry and exit charges'!P148</f>
        <v>-2.9885000000000003E-4</v>
      </c>
      <c r="Q69" s="111">
        <f>'8. Entry and exit charges'!Q148</f>
        <v>-1.1620000000000001E-5</v>
      </c>
      <c r="R69" s="81">
        <f>'8. Entry and exit charges'!R148</f>
        <v>-4.8999999999999997E-7</v>
      </c>
    </row>
    <row r="70" spans="2:18">
      <c r="B70" s="3" t="s">
        <v>2</v>
      </c>
      <c r="H70" s="115"/>
      <c r="I70" s="119">
        <f>'8. Entry and exit charges'!I149</f>
        <v>-1.9120599999999999E-3</v>
      </c>
      <c r="J70" s="111">
        <f>'8. Entry and exit charges'!J149</f>
        <v>-8.6255000000000001E-4</v>
      </c>
      <c r="K70" s="111">
        <f>'8. Entry and exit charges'!K149</f>
        <v>-3.4669999999999998E-5</v>
      </c>
      <c r="L70" s="81">
        <f>'8. Entry and exit charges'!L149</f>
        <v>-1.4499999999999999E-6</v>
      </c>
      <c r="N70" s="115"/>
      <c r="O70" s="116">
        <f>'8. Entry and exit charges'!O149</f>
        <v>-4.7802000000000001E-4</v>
      </c>
      <c r="P70" s="111">
        <f>'8. Entry and exit charges'!P149</f>
        <v>-2.1563999999999999E-4</v>
      </c>
      <c r="Q70" s="111">
        <f>'8. Entry and exit charges'!Q149</f>
        <v>-8.67E-6</v>
      </c>
      <c r="R70" s="81">
        <f>'8. Entry and exit charges'!R149</f>
        <v>-3.7E-7</v>
      </c>
    </row>
    <row r="71" spans="2:18">
      <c r="B71" s="3" t="s">
        <v>50</v>
      </c>
      <c r="H71" s="115"/>
      <c r="I71" s="119"/>
      <c r="J71" s="111">
        <f>'8. Entry and exit charges'!J150</f>
        <v>-7.8961000000000005E-4</v>
      </c>
      <c r="K71" s="111">
        <f>'8. Entry and exit charges'!K150</f>
        <v>-3.0729999999999999E-5</v>
      </c>
      <c r="L71" s="81">
        <f>'8. Entry and exit charges'!L150</f>
        <v>-1.2899999999999999E-6</v>
      </c>
      <c r="N71" s="115"/>
      <c r="O71" s="116"/>
      <c r="P71" s="111">
        <f>'8. Entry and exit charges'!P150</f>
        <v>-1.974E-4</v>
      </c>
      <c r="Q71" s="111">
        <f>'8. Entry and exit charges'!Q150</f>
        <v>-7.6799999999999993E-6</v>
      </c>
      <c r="R71" s="81">
        <f>'8. Entry and exit charges'!R150</f>
        <v>-3.3000000000000002E-7</v>
      </c>
    </row>
    <row r="72" spans="2:18">
      <c r="B72" s="3" t="s">
        <v>51</v>
      </c>
      <c r="H72" s="115"/>
      <c r="I72" s="119"/>
      <c r="J72" s="111">
        <f>'8. Entry and exit charges'!J151</f>
        <v>-6.4161000000000003E-4</v>
      </c>
      <c r="K72" s="111">
        <f>'8. Entry and exit charges'!K151</f>
        <v>-2.5809999999999999E-5</v>
      </c>
      <c r="L72" s="81">
        <f>'8. Entry and exit charges'!L151</f>
        <v>-1.0799999999999998E-6</v>
      </c>
      <c r="N72" s="115"/>
      <c r="O72" s="116"/>
      <c r="P72" s="111">
        <f>'8. Entry and exit charges'!P151</f>
        <v>-1.604E-4</v>
      </c>
      <c r="Q72" s="111">
        <f>'8. Entry and exit charges'!Q151</f>
        <v>-6.4500000000000001E-6</v>
      </c>
      <c r="R72" s="81">
        <f>'8. Entry and exit charges'!R151</f>
        <v>-2.7000000000000001E-7</v>
      </c>
    </row>
    <row r="73" spans="2:18">
      <c r="B73" s="3" t="s">
        <v>52</v>
      </c>
      <c r="H73" s="115"/>
      <c r="I73" s="119">
        <f>'8. Entry and exit charges'!I152</f>
        <v>-1.5509E-3</v>
      </c>
      <c r="J73" s="111">
        <f>'8. Entry and exit charges'!J152</f>
        <v>-6.2609999999999999E-4</v>
      </c>
      <c r="K73" s="111">
        <f>'8. Entry and exit charges'!K152</f>
        <v>-2.4349999999999999E-5</v>
      </c>
      <c r="L73" s="81">
        <f>'8. Entry and exit charges'!L152</f>
        <v>-1.02E-6</v>
      </c>
      <c r="N73" s="115"/>
      <c r="O73" s="116">
        <f>'8. Entry and exit charges'!O152</f>
        <v>-3.8771999999999998E-4</v>
      </c>
      <c r="P73" s="111">
        <f>'8. Entry and exit charges'!P152</f>
        <v>-1.5652999999999999E-4</v>
      </c>
      <c r="Q73" s="111">
        <f>'8. Entry and exit charges'!Q152</f>
        <v>-6.0900000000000001E-6</v>
      </c>
      <c r="R73" s="81">
        <f>'8. Entry and exit charges'!R152</f>
        <v>-2.6E-7</v>
      </c>
    </row>
    <row r="74" spans="2:18">
      <c r="B74" s="3" t="s">
        <v>53</v>
      </c>
      <c r="H74" s="115"/>
      <c r="I74" s="119"/>
      <c r="J74" s="111">
        <f>'8. Entry and exit charges'!J153</f>
        <v>-5.9520000000000005E-4</v>
      </c>
      <c r="K74" s="111">
        <f>'8. Entry and exit charges'!K153</f>
        <v>-2.319E-5</v>
      </c>
      <c r="L74" s="81">
        <f>'8. Entry and exit charges'!L153</f>
        <v>-9.6999999999999982E-7</v>
      </c>
      <c r="N74" s="115"/>
      <c r="O74" s="116"/>
      <c r="P74" s="111">
        <f>'8. Entry and exit charges'!P153</f>
        <v>-1.4880000000000001E-4</v>
      </c>
      <c r="Q74" s="111">
        <f>'8. Entry and exit charges'!Q153</f>
        <v>-5.8000000000000004E-6</v>
      </c>
      <c r="R74" s="81">
        <f>'8. Entry and exit charges'!R153</f>
        <v>-2.4999999999999999E-7</v>
      </c>
    </row>
    <row r="75" spans="2:18">
      <c r="B75" s="3" t="s">
        <v>3</v>
      </c>
      <c r="H75" s="115"/>
      <c r="I75" s="119"/>
      <c r="J75" s="111">
        <f>'8. Entry and exit charges'!J154</f>
        <v>-6.3968E-4</v>
      </c>
      <c r="K75" s="111">
        <f>'8. Entry and exit charges'!K154</f>
        <v>-2.5740000000000001E-5</v>
      </c>
      <c r="L75" s="81">
        <f>'8. Entry and exit charges'!L154</f>
        <v>-1.0799999999999998E-6</v>
      </c>
      <c r="N75" s="115"/>
      <c r="O75" s="116"/>
      <c r="P75" s="111">
        <f>'8. Entry and exit charges'!P154</f>
        <v>-1.5992E-4</v>
      </c>
      <c r="Q75" s="111">
        <f>'8. Entry and exit charges'!Q154</f>
        <v>-6.4300000000000003E-6</v>
      </c>
      <c r="R75" s="81">
        <f>'8. Entry and exit charges'!R154</f>
        <v>-2.7000000000000001E-7</v>
      </c>
    </row>
    <row r="76" spans="2:18">
      <c r="B76" s="3" t="s">
        <v>54</v>
      </c>
      <c r="H76" s="115"/>
      <c r="I76" s="119">
        <f>'8. Entry and exit charges'!I155</f>
        <v>-2.7245500000000001E-3</v>
      </c>
      <c r="J76" s="111">
        <f>'8. Entry and exit charges'!J155</f>
        <v>-7.5869999999999996E-4</v>
      </c>
      <c r="K76" s="111">
        <f>'8. Entry and exit charges'!K155</f>
        <v>-2.953E-5</v>
      </c>
      <c r="L76" s="81">
        <f>'8. Entry and exit charges'!L155</f>
        <v>-1.24E-6</v>
      </c>
      <c r="N76" s="115"/>
      <c r="O76" s="116">
        <f>'8. Entry and exit charges'!O155</f>
        <v>-6.8114E-4</v>
      </c>
      <c r="P76" s="111">
        <f>'8. Entry and exit charges'!P155</f>
        <v>-1.8968000000000001E-4</v>
      </c>
      <c r="Q76" s="111">
        <f>'8. Entry and exit charges'!Q155</f>
        <v>-7.3799999999999996E-6</v>
      </c>
      <c r="R76" s="81">
        <f>'8. Entry and exit charges'!R155</f>
        <v>-3.1E-7</v>
      </c>
    </row>
    <row r="77" spans="2:18">
      <c r="B77" s="3" t="s">
        <v>4</v>
      </c>
      <c r="H77" s="115"/>
      <c r="I77" s="119"/>
      <c r="J77" s="111">
        <f>'8. Entry and exit charges'!J156</f>
        <v>-1.0902500000000001E-3</v>
      </c>
      <c r="K77" s="111">
        <f>'8. Entry and exit charges'!K156</f>
        <v>-4.3819999999999997E-5</v>
      </c>
      <c r="L77" s="81">
        <f>'8. Entry and exit charges'!L156</f>
        <v>-1.8299999999999998E-6</v>
      </c>
      <c r="N77" s="115"/>
      <c r="O77" s="116"/>
      <c r="P77" s="111">
        <f>'8. Entry and exit charges'!P156</f>
        <v>-2.7255999999999998E-4</v>
      </c>
      <c r="Q77" s="111">
        <f>'8. Entry and exit charges'!Q156</f>
        <v>-1.096E-5</v>
      </c>
      <c r="R77" s="81">
        <f>'8. Entry and exit charges'!R156</f>
        <v>-4.5999999999999999E-7</v>
      </c>
    </row>
    <row r="78" spans="2:18">
      <c r="B78" s="3" t="s">
        <v>5</v>
      </c>
      <c r="H78" s="115"/>
      <c r="I78" s="119"/>
      <c r="J78" s="111">
        <f>'8. Entry and exit charges'!J157</f>
        <v>-1.4197000000000001E-3</v>
      </c>
      <c r="K78" s="111">
        <f>'8. Entry and exit charges'!K157</f>
        <v>-5.5229999999999998E-5</v>
      </c>
      <c r="L78" s="81">
        <f>'8. Entry and exit charges'!L157</f>
        <v>-2.3099999999999999E-6</v>
      </c>
      <c r="N78" s="115"/>
      <c r="O78" s="116"/>
      <c r="P78" s="111">
        <f>'8. Entry and exit charges'!P157</f>
        <v>-3.5492999999999999E-4</v>
      </c>
      <c r="Q78" s="111">
        <f>'8. Entry and exit charges'!Q157</f>
        <v>-1.381E-5</v>
      </c>
      <c r="R78" s="81">
        <f>'8. Entry and exit charges'!R157</f>
        <v>-5.8000000000000006E-7</v>
      </c>
    </row>
    <row r="79" spans="2:18">
      <c r="L79" s="71"/>
      <c r="R79" s="84"/>
    </row>
  </sheetData>
  <mergeCells count="5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B8:D8"/>
    <mergeCell ref="N16:N27"/>
    <mergeCell ref="I16:I18"/>
    <mergeCell ref="I19:I21"/>
    <mergeCell ref="I22:I24"/>
    <mergeCell ref="I25:I27"/>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2CD1D91-6636-4CE1-9EDB-18B71ECA8245}">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zoomScale="90" zoomScaleNormal="90" workbookViewId="0">
      <pane xSplit="7" ySplit="7" topLeftCell="H8" activePane="bottomRight" state="frozen"/>
      <selection pane="topRight" activeCell="H1" sqref="H1"/>
      <selection pane="bottomLeft" activeCell="A8" sqref="A8"/>
      <selection pane="bottomRight"/>
    </sheetView>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8" customFormat="1" ht="18">
      <c r="B2" s="8" t="s">
        <v>173</v>
      </c>
    </row>
    <row r="4" spans="2:26">
      <c r="B4" s="11" t="s">
        <v>65</v>
      </c>
      <c r="C4" s="2"/>
    </row>
    <row r="5" spans="2:26" ht="12.75" customHeight="1">
      <c r="B5" s="114" t="s">
        <v>174</v>
      </c>
      <c r="C5" s="114"/>
      <c r="D5" s="114"/>
    </row>
    <row r="7" spans="2:26" s="6" customFormat="1">
      <c r="B7" s="6" t="s">
        <v>33</v>
      </c>
      <c r="D7" s="6" t="s">
        <v>62</v>
      </c>
      <c r="F7" s="6" t="s">
        <v>171</v>
      </c>
      <c r="Z7" s="6" t="s">
        <v>108</v>
      </c>
    </row>
    <row r="9" spans="2:26" s="6" customFormat="1">
      <c r="B9" s="6" t="s">
        <v>136</v>
      </c>
    </row>
    <row r="11" spans="2:26">
      <c r="B11" s="11" t="s">
        <v>82</v>
      </c>
    </row>
    <row r="12" spans="2:26">
      <c r="B12" s="3" t="s">
        <v>83</v>
      </c>
      <c r="F12" s="24">
        <f>'2. Parameters'!F35</f>
        <v>1.25</v>
      </c>
    </row>
    <row r="13" spans="2:26">
      <c r="B13" s="3" t="s">
        <v>84</v>
      </c>
      <c r="F13" s="24">
        <f>'2. Parameters'!F36</f>
        <v>1.5</v>
      </c>
    </row>
    <row r="14" spans="2:26">
      <c r="B14" s="3" t="s">
        <v>85</v>
      </c>
      <c r="F14" s="24">
        <f>'2. Parameters'!F37</f>
        <v>1.75</v>
      </c>
    </row>
    <row r="15" spans="2:26">
      <c r="B15" s="3" t="s">
        <v>86</v>
      </c>
      <c r="F15" s="24">
        <f>'2. Parameters'!F38</f>
        <v>1.75</v>
      </c>
    </row>
    <row r="17" spans="2:6">
      <c r="B17" s="2" t="s">
        <v>88</v>
      </c>
    </row>
    <row r="18" spans="2:6">
      <c r="B18" s="3" t="s">
        <v>89</v>
      </c>
      <c r="F18" s="24">
        <f>'2. Parameters'!F43</f>
        <v>1.482</v>
      </c>
    </row>
    <row r="19" spans="2:6">
      <c r="B19" s="3" t="s">
        <v>90</v>
      </c>
      <c r="F19" s="24">
        <f>'2. Parameters'!F44</f>
        <v>0.78400000000000003</v>
      </c>
    </row>
    <row r="20" spans="2:6">
      <c r="B20" s="3" t="s">
        <v>91</v>
      </c>
      <c r="F20" s="24">
        <f>'2. Parameters'!F45</f>
        <v>0.629</v>
      </c>
    </row>
    <row r="21" spans="2:6">
      <c r="B21" s="3" t="s">
        <v>92</v>
      </c>
      <c r="F21" s="24">
        <f>'2. Parameters'!F46</f>
        <v>1.105</v>
      </c>
    </row>
    <row r="23" spans="2:6">
      <c r="B23" s="2" t="s">
        <v>93</v>
      </c>
    </row>
    <row r="24" spans="2:6">
      <c r="B24" s="3" t="s">
        <v>47</v>
      </c>
      <c r="F24" s="24">
        <f>'2. Parameters'!F49</f>
        <v>1.7150000000000001</v>
      </c>
    </row>
    <row r="25" spans="2:6">
      <c r="B25" s="3" t="s">
        <v>48</v>
      </c>
      <c r="F25" s="24">
        <f>'2. Parameters'!F50</f>
        <v>1.5329999999999999</v>
      </c>
    </row>
    <row r="26" spans="2:6">
      <c r="B26" s="3" t="s">
        <v>49</v>
      </c>
      <c r="F26" s="24">
        <f>'2. Parameters'!F51</f>
        <v>1.1990000000000001</v>
      </c>
    </row>
    <row r="27" spans="2:6">
      <c r="B27" s="3" t="s">
        <v>2</v>
      </c>
      <c r="F27" s="24">
        <f>'2. Parameters'!F52</f>
        <v>0.89400000000000002</v>
      </c>
    </row>
    <row r="28" spans="2:6">
      <c r="B28" s="3" t="s">
        <v>50</v>
      </c>
      <c r="F28" s="24">
        <f>'2. Parameters'!F53</f>
        <v>0.79200000000000004</v>
      </c>
    </row>
    <row r="29" spans="2:6">
      <c r="B29" s="3" t="s">
        <v>51</v>
      </c>
      <c r="F29" s="24">
        <f>'2. Parameters'!F54</f>
        <v>0.66500000000000004</v>
      </c>
    </row>
    <row r="30" spans="2:6">
      <c r="B30" s="3" t="s">
        <v>52</v>
      </c>
      <c r="F30" s="24">
        <f>'2. Parameters'!F55</f>
        <v>0.628</v>
      </c>
    </row>
    <row r="31" spans="2:6">
      <c r="B31" s="3" t="s">
        <v>53</v>
      </c>
      <c r="F31" s="24">
        <f>'2. Parameters'!F56</f>
        <v>0.59699999999999998</v>
      </c>
    </row>
    <row r="32" spans="2:6">
      <c r="B32" s="3" t="s">
        <v>3</v>
      </c>
      <c r="F32" s="24">
        <f>'2. Parameters'!F57</f>
        <v>0.66300000000000003</v>
      </c>
    </row>
    <row r="33" spans="2:6">
      <c r="B33" s="3" t="s">
        <v>54</v>
      </c>
      <c r="F33" s="24">
        <f>'2. Parameters'!F58</f>
        <v>0.76100000000000001</v>
      </c>
    </row>
    <row r="34" spans="2:6">
      <c r="B34" s="3" t="s">
        <v>4</v>
      </c>
      <c r="F34" s="24">
        <f>'2. Parameters'!F59</f>
        <v>1.1299999999999999</v>
      </c>
    </row>
    <row r="35" spans="2:6">
      <c r="B35" s="3" t="s">
        <v>5</v>
      </c>
      <c r="F35" s="24">
        <f>'2. Parameters'!F60</f>
        <v>1.4239999999999999</v>
      </c>
    </row>
    <row r="37" spans="2:6">
      <c r="B37" s="2" t="s">
        <v>94</v>
      </c>
    </row>
    <row r="38" spans="2:6">
      <c r="B38" s="3" t="s">
        <v>47</v>
      </c>
      <c r="F38" s="32">
        <f>'2. Parameters'!F63</f>
        <v>1.7729999999999999</v>
      </c>
    </row>
    <row r="39" spans="2:6">
      <c r="B39" s="3" t="s">
        <v>48</v>
      </c>
      <c r="F39" s="32">
        <f>'2. Parameters'!F64</f>
        <v>1.585</v>
      </c>
    </row>
    <row r="40" spans="2:6">
      <c r="B40" s="3" t="s">
        <v>49</v>
      </c>
      <c r="F40" s="32">
        <f>'2. Parameters'!F65</f>
        <v>1.2390000000000001</v>
      </c>
    </row>
    <row r="41" spans="2:6">
      <c r="B41" s="3" t="s">
        <v>2</v>
      </c>
      <c r="F41" s="32">
        <f>'2. Parameters'!F66</f>
        <v>0.92400000000000004</v>
      </c>
    </row>
    <row r="42" spans="2:6">
      <c r="B42" s="3" t="s">
        <v>50</v>
      </c>
      <c r="F42" s="32">
        <f>'2. Parameters'!F67</f>
        <v>0.81899999999999995</v>
      </c>
    </row>
    <row r="43" spans="2:6">
      <c r="B43" s="3" t="s">
        <v>51</v>
      </c>
      <c r="F43" s="32">
        <f>'2. Parameters'!F68</f>
        <v>0.68799999999999994</v>
      </c>
    </row>
    <row r="44" spans="2:6">
      <c r="B44" s="3" t="s">
        <v>52</v>
      </c>
      <c r="F44" s="32">
        <f>'2. Parameters'!F69</f>
        <v>0.64900000000000002</v>
      </c>
    </row>
    <row r="45" spans="2:6">
      <c r="B45" s="3" t="s">
        <v>53</v>
      </c>
      <c r="F45" s="32">
        <f>'2. Parameters'!F70</f>
        <v>0.61799999999999999</v>
      </c>
    </row>
    <row r="46" spans="2:6">
      <c r="B46" s="3" t="s">
        <v>3</v>
      </c>
      <c r="F46" s="32">
        <f>'2. Parameters'!F71</f>
        <v>0.68600000000000005</v>
      </c>
    </row>
    <row r="47" spans="2:6">
      <c r="B47" s="3" t="s">
        <v>54</v>
      </c>
      <c r="F47" s="32">
        <f>'2. Parameters'!F72</f>
        <v>0.78700000000000003</v>
      </c>
    </row>
    <row r="48" spans="2:6">
      <c r="B48" s="3" t="s">
        <v>4</v>
      </c>
      <c r="F48" s="32">
        <f>'2. Parameters'!F73</f>
        <v>1.1679999999999999</v>
      </c>
    </row>
    <row r="49" spans="2:6">
      <c r="B49" s="3" t="s">
        <v>5</v>
      </c>
      <c r="F49" s="32">
        <f>'2. Parameters'!F74</f>
        <v>1.472</v>
      </c>
    </row>
    <row r="51" spans="2:6">
      <c r="B51" s="2" t="s">
        <v>102</v>
      </c>
    </row>
    <row r="52" spans="2:6">
      <c r="B52" s="3" t="s">
        <v>47</v>
      </c>
      <c r="F52" s="24">
        <f>'2. Parameters'!F79</f>
        <v>31</v>
      </c>
    </row>
    <row r="53" spans="2:6">
      <c r="B53" s="3" t="s">
        <v>48</v>
      </c>
      <c r="F53" s="24">
        <f>'2. Parameters'!F80</f>
        <v>28</v>
      </c>
    </row>
    <row r="54" spans="2:6">
      <c r="B54" s="3" t="s">
        <v>49</v>
      </c>
      <c r="F54" s="24">
        <f>'2. Parameters'!F81</f>
        <v>31</v>
      </c>
    </row>
    <row r="55" spans="2:6">
      <c r="B55" s="3" t="s">
        <v>2</v>
      </c>
      <c r="F55" s="24">
        <f>'2. Parameters'!F82</f>
        <v>30</v>
      </c>
    </row>
    <row r="56" spans="2:6">
      <c r="B56" s="3" t="s">
        <v>50</v>
      </c>
      <c r="F56" s="24">
        <f>'2. Parameters'!F83</f>
        <v>31</v>
      </c>
    </row>
    <row r="57" spans="2:6">
      <c r="B57" s="3" t="s">
        <v>51</v>
      </c>
      <c r="F57" s="24">
        <f>'2. Parameters'!F84</f>
        <v>30</v>
      </c>
    </row>
    <row r="58" spans="2:6">
      <c r="B58" s="3" t="s">
        <v>52</v>
      </c>
      <c r="F58" s="24">
        <f>'2. Parameters'!F85</f>
        <v>31</v>
      </c>
    </row>
    <row r="59" spans="2:6">
      <c r="B59" s="3" t="s">
        <v>53</v>
      </c>
      <c r="F59" s="24">
        <f>'2. Parameters'!F86</f>
        <v>31</v>
      </c>
    </row>
    <row r="60" spans="2:6">
      <c r="B60" s="3" t="s">
        <v>3</v>
      </c>
      <c r="F60" s="24">
        <f>'2. Parameters'!F87</f>
        <v>30</v>
      </c>
    </row>
    <row r="61" spans="2:6">
      <c r="B61" s="3" t="s">
        <v>54</v>
      </c>
      <c r="F61" s="24">
        <f>'2. Parameters'!F88</f>
        <v>31</v>
      </c>
    </row>
    <row r="62" spans="2:6">
      <c r="B62" s="3" t="s">
        <v>4</v>
      </c>
      <c r="F62" s="24">
        <f>'2. Parameters'!F89</f>
        <v>30</v>
      </c>
    </row>
    <row r="63" spans="2:6">
      <c r="B63" s="3" t="s">
        <v>5</v>
      </c>
      <c r="F63" s="24">
        <f>'2. Parameters'!F90</f>
        <v>31</v>
      </c>
    </row>
    <row r="65" spans="2:6">
      <c r="B65" s="2" t="s">
        <v>103</v>
      </c>
    </row>
    <row r="66" spans="2:6">
      <c r="B66" s="3" t="s">
        <v>89</v>
      </c>
      <c r="F66" s="24">
        <f>'2. Parameters'!F93</f>
        <v>90</v>
      </c>
    </row>
    <row r="67" spans="2:6">
      <c r="B67" s="3" t="s">
        <v>90</v>
      </c>
      <c r="F67" s="24">
        <f>'2. Parameters'!F94</f>
        <v>91</v>
      </c>
    </row>
    <row r="68" spans="2:6">
      <c r="B68" s="3" t="s">
        <v>91</v>
      </c>
      <c r="F68" s="24">
        <f>'2. Parameters'!F95</f>
        <v>92</v>
      </c>
    </row>
    <row r="69" spans="2:6">
      <c r="B69" s="3" t="s">
        <v>92</v>
      </c>
      <c r="F69" s="24">
        <f>'2. Parameters'!F96</f>
        <v>92</v>
      </c>
    </row>
    <row r="71" spans="2:6">
      <c r="B71" s="2" t="s">
        <v>104</v>
      </c>
    </row>
    <row r="72" spans="2:6">
      <c r="B72" s="3" t="s">
        <v>96</v>
      </c>
      <c r="F72" s="24">
        <f>'2. Parameters'!F99</f>
        <v>24</v>
      </c>
    </row>
    <row r="73" spans="2:6">
      <c r="B73" s="3" t="s">
        <v>97</v>
      </c>
      <c r="F73" s="24">
        <f>'2. Parameters'!F100</f>
        <v>365</v>
      </c>
    </row>
    <row r="74" spans="2:6">
      <c r="B74" s="3" t="s">
        <v>98</v>
      </c>
      <c r="F74" s="24">
        <f>'2. Parameters'!F101</f>
        <v>8760</v>
      </c>
    </row>
    <row r="75" spans="2:6">
      <c r="B75" s="2"/>
    </row>
    <row r="76" spans="2:6">
      <c r="B76" s="2" t="s">
        <v>79</v>
      </c>
    </row>
    <row r="77" spans="2:6">
      <c r="B77" s="3" t="s">
        <v>175</v>
      </c>
      <c r="D77" s="3" t="s">
        <v>6</v>
      </c>
      <c r="F77" s="24" t="str">
        <f>'1. Charge summary'!J8</f>
        <v>All other entry and exit points</v>
      </c>
    </row>
    <row r="78" spans="2:6">
      <c r="B78" s="3" t="s">
        <v>176</v>
      </c>
      <c r="D78" s="3" t="s">
        <v>6</v>
      </c>
      <c r="F78" s="34">
        <f>_xlfn.XLOOKUP(F77,'2. Parameters'!B106:B120,'2. Parameters'!F106:F120)</f>
        <v>1E-4</v>
      </c>
    </row>
    <row r="79" spans="2:6">
      <c r="B79" s="3" t="s">
        <v>177</v>
      </c>
      <c r="D79" s="3" t="s">
        <v>6</v>
      </c>
      <c r="F79" s="34">
        <f>_xlfn.XLOOKUP(F77,'2. Parameters'!B123:B137,'2. Parameters'!F123:F137)</f>
        <v>1E-4</v>
      </c>
    </row>
    <row r="81" spans="2:33" s="6" customFormat="1">
      <c r="B81" s="6" t="s">
        <v>179</v>
      </c>
    </row>
    <row r="83" spans="2:33">
      <c r="B83" s="3" t="s">
        <v>162</v>
      </c>
      <c r="D83" s="3" t="s">
        <v>178</v>
      </c>
      <c r="F83" s="20">
        <f>'7. RPM'!N42</f>
        <v>-8.409739855404344E-3</v>
      </c>
    </row>
    <row r="84" spans="2:33">
      <c r="B84" s="3" t="s">
        <v>163</v>
      </c>
      <c r="D84" s="3" t="s">
        <v>178</v>
      </c>
      <c r="F84" s="20">
        <f>'7. RPM'!N43</f>
        <v>-7.8265554436476713E-3</v>
      </c>
    </row>
    <row r="85" spans="2:33">
      <c r="B85" s="3" t="s">
        <v>164</v>
      </c>
      <c r="D85" s="3" t="s">
        <v>178</v>
      </c>
      <c r="F85" s="20">
        <f>'7. RPM'!N44</f>
        <v>-2.102434963851086E-3</v>
      </c>
      <c r="I85" s="62"/>
    </row>
    <row r="86" spans="2:33">
      <c r="B86" s="3" t="s">
        <v>165</v>
      </c>
      <c r="D86" s="3" t="s">
        <v>178</v>
      </c>
      <c r="F86" s="20">
        <f>'7. RPM'!N45</f>
        <v>-1.9566388609119178E-3</v>
      </c>
    </row>
    <row r="87" spans="2:33">
      <c r="B87" s="3" t="s">
        <v>166</v>
      </c>
      <c r="D87" s="3" t="s">
        <v>178</v>
      </c>
      <c r="F87" s="20">
        <f>'7. RPM'!N46</f>
        <v>-8.409739855404344E-3</v>
      </c>
    </row>
    <row r="89" spans="2:33" s="21" customFormat="1">
      <c r="B89" s="21" t="s">
        <v>34</v>
      </c>
      <c r="H89" s="21" t="s">
        <v>35</v>
      </c>
      <c r="N89" s="21" t="s">
        <v>0</v>
      </c>
      <c r="T89" s="21" t="s">
        <v>36</v>
      </c>
    </row>
    <row r="90" spans="2:33" s="23" customFormat="1">
      <c r="B90" s="23" t="s">
        <v>37</v>
      </c>
      <c r="H90" s="23" t="s">
        <v>38</v>
      </c>
      <c r="I90" s="23" t="s">
        <v>39</v>
      </c>
      <c r="J90" s="23" t="s">
        <v>40</v>
      </c>
      <c r="K90" s="23" t="s">
        <v>41</v>
      </c>
      <c r="L90" s="23" t="s">
        <v>1</v>
      </c>
      <c r="N90" s="23" t="s">
        <v>38</v>
      </c>
      <c r="O90" s="23" t="s">
        <v>39</v>
      </c>
      <c r="P90" s="23" t="s">
        <v>40</v>
      </c>
      <c r="Q90" s="23" t="s">
        <v>41</v>
      </c>
      <c r="R90" s="23" t="s">
        <v>1</v>
      </c>
      <c r="T90" s="23" t="s">
        <v>38</v>
      </c>
      <c r="U90" s="23" t="s">
        <v>39</v>
      </c>
      <c r="V90" s="23" t="s">
        <v>40</v>
      </c>
      <c r="W90" s="23" t="s">
        <v>41</v>
      </c>
      <c r="X90" s="23" t="s">
        <v>1</v>
      </c>
    </row>
    <row r="91" spans="2:33" s="22" customFormat="1">
      <c r="H91" s="22" t="s">
        <v>42</v>
      </c>
      <c r="I91" s="22" t="s">
        <v>43</v>
      </c>
      <c r="J91" s="22" t="s">
        <v>44</v>
      </c>
      <c r="K91" s="22" t="s">
        <v>45</v>
      </c>
      <c r="L91" s="22" t="s">
        <v>46</v>
      </c>
      <c r="N91" s="22" t="s">
        <v>42</v>
      </c>
      <c r="O91" s="22" t="s">
        <v>43</v>
      </c>
      <c r="P91" s="22" t="s">
        <v>44</v>
      </c>
      <c r="Q91" s="22" t="s">
        <v>45</v>
      </c>
      <c r="R91" s="22" t="s">
        <v>46</v>
      </c>
      <c r="T91" s="22" t="s">
        <v>42</v>
      </c>
      <c r="U91" s="22" t="s">
        <v>43</v>
      </c>
      <c r="V91" s="22" t="s">
        <v>44</v>
      </c>
      <c r="W91" s="22" t="s">
        <v>45</v>
      </c>
      <c r="X91" s="22" t="s">
        <v>46</v>
      </c>
    </row>
    <row r="93" spans="2:33" ht="12.75" customHeight="1">
      <c r="B93" s="36" t="s">
        <v>47</v>
      </c>
      <c r="H93" s="125">
        <f>ROUND(F83,8)</f>
        <v>-8.4097400000000006E-3</v>
      </c>
      <c r="I93" s="126">
        <f>ROUND($F$12*$F$18*$F$66/$F$73*$F$83,8)</f>
        <v>-3.84141E-3</v>
      </c>
      <c r="J93" s="40">
        <f t="shared" ref="J93:J104" si="0">ROUND($F$13*$F24*$F52/$F$73*$F$83,8)</f>
        <v>-1.83741E-3</v>
      </c>
      <c r="K93" s="111">
        <f t="shared" ref="K93:K104" si="1">ROUND($F$14*$F38/$F$73*$F$83,8)</f>
        <v>-7.1489999999999995E-5</v>
      </c>
      <c r="L93" s="70">
        <f t="shared" ref="L93:L104" si="2">ROUNDUP($F$15*$F38/$F$74*$F$83,8)</f>
        <v>-2.9799999999999998E-6</v>
      </c>
      <c r="M93" s="41"/>
      <c r="N93" s="125">
        <f>ROUND(F85,8)</f>
        <v>-2.1024300000000002E-3</v>
      </c>
      <c r="O93" s="126">
        <f>ROUND($F$12*$F$18*$F$66/$F$73*$F$85,8)</f>
        <v>-9.6035000000000001E-4</v>
      </c>
      <c r="P93" s="111">
        <f>ROUND($F$13*$F$24*$F$52/$F$73*$F$85,8)</f>
        <v>-4.5935000000000003E-4</v>
      </c>
      <c r="Q93" s="111">
        <f>ROUND($F$14*$F$38/$F$73*$F$85,8)</f>
        <v>-1.787E-5</v>
      </c>
      <c r="R93" s="70">
        <f t="shared" ref="R93:R104" si="3">ROUNDUP($F$15*$F38/$F$74*$F$85,8)</f>
        <v>-7.5000000000000002E-7</v>
      </c>
      <c r="S93" s="86"/>
      <c r="T93" s="125">
        <f>ROUND(F87,8)</f>
        <v>-8.4097400000000006E-3</v>
      </c>
      <c r="U93" s="126">
        <f>ROUND($F$12*$F$18*$F$66/$F$73*$F$87,8)</f>
        <v>-3.84141E-3</v>
      </c>
      <c r="V93" s="87">
        <f t="shared" ref="V93:V104" si="4">ROUND($F$13*$F24*$F52/$F$73*$F$87,8)</f>
        <v>-1.83741E-3</v>
      </c>
      <c r="W93" s="113">
        <f t="shared" ref="W93:W104" si="5">ROUND($F$14*$F38/$F$73*$F$87,8)</f>
        <v>-7.1489999999999995E-5</v>
      </c>
      <c r="X93" s="70">
        <f t="shared" ref="X93:X104" si="6">ROUNDUP($F$15*$F38/$F$74*$F$87,8)</f>
        <v>-2.9799999999999998E-6</v>
      </c>
      <c r="Z93" s="127" t="s">
        <v>172</v>
      </c>
      <c r="AA93" s="127"/>
      <c r="AB93" s="127"/>
      <c r="AG93" s="68"/>
    </row>
    <row r="94" spans="2:33">
      <c r="B94" s="36" t="s">
        <v>48</v>
      </c>
      <c r="H94" s="125"/>
      <c r="I94" s="126"/>
      <c r="J94" s="40">
        <f t="shared" si="0"/>
        <v>-1.4834799999999999E-3</v>
      </c>
      <c r="K94" s="111">
        <f t="shared" si="1"/>
        <v>-6.3910000000000003E-5</v>
      </c>
      <c r="L94" s="70">
        <f t="shared" si="2"/>
        <v>-2.6699999999999998E-6</v>
      </c>
      <c r="M94" s="41"/>
      <c r="N94" s="125"/>
      <c r="O94" s="126"/>
      <c r="P94" s="111">
        <f>ROUND($F$13*$F$25*$F$53/$F$73*$F$85,8)</f>
        <v>-3.7086999999999998E-4</v>
      </c>
      <c r="Q94" s="111">
        <f>ROUND($F$14*$F$39/$F$73*$F$85,8)</f>
        <v>-1.5979999999999999E-5</v>
      </c>
      <c r="R94" s="70">
        <f t="shared" si="3"/>
        <v>-6.7000000000000004E-7</v>
      </c>
      <c r="S94" s="86"/>
      <c r="T94" s="125"/>
      <c r="U94" s="126"/>
      <c r="V94" s="87">
        <f t="shared" si="4"/>
        <v>-1.4834799999999999E-3</v>
      </c>
      <c r="W94" s="113">
        <f t="shared" si="5"/>
        <v>-6.3910000000000003E-5</v>
      </c>
      <c r="X94" s="70">
        <f t="shared" si="6"/>
        <v>-2.6699999999999998E-6</v>
      </c>
      <c r="Z94" s="127"/>
      <c r="AA94" s="127"/>
      <c r="AB94" s="127"/>
    </row>
    <row r="95" spans="2:33">
      <c r="B95" s="36" t="s">
        <v>49</v>
      </c>
      <c r="H95" s="125"/>
      <c r="I95" s="126"/>
      <c r="J95" s="40">
        <f t="shared" si="0"/>
        <v>-1.28458E-3</v>
      </c>
      <c r="K95" s="111">
        <f t="shared" si="1"/>
        <v>-4.9960000000000003E-5</v>
      </c>
      <c r="L95" s="70">
        <f t="shared" si="2"/>
        <v>-2.0899999999999999E-6</v>
      </c>
      <c r="M95" s="41"/>
      <c r="N95" s="125"/>
      <c r="O95" s="126"/>
      <c r="P95" s="111">
        <f>ROUND($F$13*$F$26*$F$54/$F$73*$F$85,8)</f>
        <v>-3.2115000000000003E-4</v>
      </c>
      <c r="Q95" s="111">
        <f>ROUND($F$14*$F$40/$F$73*$F$85,8)</f>
        <v>-1.2490000000000001E-5</v>
      </c>
      <c r="R95" s="70">
        <f t="shared" si="3"/>
        <v>-5.3000000000000001E-7</v>
      </c>
      <c r="S95" s="86"/>
      <c r="T95" s="125"/>
      <c r="U95" s="126"/>
      <c r="V95" s="87">
        <f t="shared" si="4"/>
        <v>-1.28458E-3</v>
      </c>
      <c r="W95" s="113">
        <f t="shared" si="5"/>
        <v>-4.9960000000000003E-5</v>
      </c>
      <c r="X95" s="70">
        <f t="shared" si="6"/>
        <v>-2.0899999999999999E-6</v>
      </c>
      <c r="Z95" s="127"/>
      <c r="AA95" s="127"/>
      <c r="AB95" s="127"/>
    </row>
    <row r="96" spans="2:33">
      <c r="B96" s="36" t="s">
        <v>2</v>
      </c>
      <c r="H96" s="125"/>
      <c r="I96" s="126">
        <f>ROUND($F$12*$F$19*$F$67/$F$73*$F$83,8)</f>
        <v>-2.0547400000000002E-3</v>
      </c>
      <c r="J96" s="40">
        <f t="shared" si="0"/>
        <v>-9.2690999999999997E-4</v>
      </c>
      <c r="K96" s="111">
        <f t="shared" si="1"/>
        <v>-3.7259999999999999E-5</v>
      </c>
      <c r="L96" s="70">
        <f t="shared" si="2"/>
        <v>-1.5599999999999999E-6</v>
      </c>
      <c r="M96" s="41"/>
      <c r="N96" s="125"/>
      <c r="O96" s="126">
        <f>ROUND($F$12*$F$19*$F$67/$F$73*$F$85,8)</f>
        <v>-5.1369000000000002E-4</v>
      </c>
      <c r="P96" s="111">
        <f>ROUND($F$13*$F$27*$F$55/$F$73*$F$85,8)</f>
        <v>-2.3173000000000001E-4</v>
      </c>
      <c r="Q96" s="111">
        <f>ROUND($F$14*$F$41/$F$73*$F$85,8)</f>
        <v>-9.3100000000000006E-6</v>
      </c>
      <c r="R96" s="70">
        <f t="shared" si="3"/>
        <v>-3.9000000000000002E-7</v>
      </c>
      <c r="S96" s="86"/>
      <c r="T96" s="125"/>
      <c r="U96" s="126">
        <f>ROUND($F$12*$F$19*$F$67/$F$73*$F$87,8)</f>
        <v>-2.0547400000000002E-3</v>
      </c>
      <c r="V96" s="87">
        <f t="shared" si="4"/>
        <v>-9.2690999999999997E-4</v>
      </c>
      <c r="W96" s="113">
        <f t="shared" si="5"/>
        <v>-3.7259999999999999E-5</v>
      </c>
      <c r="X96" s="70">
        <f t="shared" si="6"/>
        <v>-1.5599999999999999E-6</v>
      </c>
      <c r="Z96" s="127"/>
      <c r="AA96" s="127"/>
      <c r="AB96" s="127"/>
    </row>
    <row r="97" spans="2:28">
      <c r="B97" s="36" t="s">
        <v>50</v>
      </c>
      <c r="H97" s="125"/>
      <c r="I97" s="126"/>
      <c r="J97" s="40">
        <f t="shared" si="0"/>
        <v>-8.4853000000000001E-4</v>
      </c>
      <c r="K97" s="111">
        <f t="shared" si="1"/>
        <v>-3.3019999999999999E-5</v>
      </c>
      <c r="L97" s="70">
        <f t="shared" si="2"/>
        <v>-1.3799999999999999E-6</v>
      </c>
      <c r="M97" s="41"/>
      <c r="N97" s="125"/>
      <c r="O97" s="126"/>
      <c r="P97" s="111">
        <f>ROUND($F$13*$F$28*$F$56/$F$73*$F$85,8)</f>
        <v>-2.1212999999999999E-4</v>
      </c>
      <c r="Q97" s="111">
        <f>ROUND($F$14*$F$42/$F$73*$F$85,8)</f>
        <v>-8.2600000000000005E-6</v>
      </c>
      <c r="R97" s="70">
        <f t="shared" si="3"/>
        <v>-3.4999999999999998E-7</v>
      </c>
      <c r="S97" s="86"/>
      <c r="T97" s="125"/>
      <c r="U97" s="126"/>
      <c r="V97" s="87">
        <f t="shared" si="4"/>
        <v>-8.4853000000000001E-4</v>
      </c>
      <c r="W97" s="113">
        <f t="shared" si="5"/>
        <v>-3.3019999999999999E-5</v>
      </c>
      <c r="X97" s="70">
        <f t="shared" si="6"/>
        <v>-1.3799999999999999E-6</v>
      </c>
      <c r="Z97" s="127"/>
      <c r="AA97" s="127"/>
      <c r="AB97" s="127"/>
    </row>
    <row r="98" spans="2:28">
      <c r="B98" s="36" t="s">
        <v>51</v>
      </c>
      <c r="H98" s="125"/>
      <c r="I98" s="126"/>
      <c r="J98" s="40">
        <f t="shared" si="0"/>
        <v>-6.8948000000000002E-4</v>
      </c>
      <c r="K98" s="111">
        <f t="shared" si="1"/>
        <v>-2.7739999999999999E-5</v>
      </c>
      <c r="L98" s="70">
        <f t="shared" si="2"/>
        <v>-1.1599999999999999E-6</v>
      </c>
      <c r="M98" s="41"/>
      <c r="N98" s="125"/>
      <c r="O98" s="126"/>
      <c r="P98" s="111">
        <f>ROUND($F$13*$F$29*$F$57/$F$73*$F$85,8)</f>
        <v>-1.7237E-4</v>
      </c>
      <c r="Q98" s="111">
        <f>ROUND($F$14*$F$43/$F$73*$F$85,8)</f>
        <v>-6.9399999999999996E-6</v>
      </c>
      <c r="R98" s="70">
        <f t="shared" si="3"/>
        <v>-2.9000000000000003E-7</v>
      </c>
      <c r="S98" s="86"/>
      <c r="T98" s="125"/>
      <c r="U98" s="126"/>
      <c r="V98" s="87">
        <f t="shared" si="4"/>
        <v>-6.8948000000000002E-4</v>
      </c>
      <c r="W98" s="113">
        <f t="shared" si="5"/>
        <v>-2.7739999999999999E-5</v>
      </c>
      <c r="X98" s="70">
        <f t="shared" si="6"/>
        <v>-1.1599999999999999E-6</v>
      </c>
      <c r="Z98" s="127"/>
      <c r="AA98" s="127"/>
      <c r="AB98" s="127"/>
    </row>
    <row r="99" spans="2:28">
      <c r="B99" s="36" t="s">
        <v>52</v>
      </c>
      <c r="H99" s="125"/>
      <c r="I99" s="126">
        <f>ROUND($F$12*$F$20*$F$68/$F$73*$F$83,8)</f>
        <v>-1.6666300000000001E-3</v>
      </c>
      <c r="J99" s="40">
        <f t="shared" si="0"/>
        <v>-6.7283000000000002E-4</v>
      </c>
      <c r="K99" s="111">
        <f t="shared" si="1"/>
        <v>-2.6169999999999998E-5</v>
      </c>
      <c r="L99" s="70">
        <f t="shared" si="2"/>
        <v>-1.0999999999999998E-6</v>
      </c>
      <c r="M99" s="41"/>
      <c r="N99" s="125"/>
      <c r="O99" s="126">
        <f>ROUND($F$12*$F$20*$F$68/$F$73*$F$85,8)</f>
        <v>-4.1666000000000001E-4</v>
      </c>
      <c r="P99" s="111">
        <f>ROUND($F$13*$F$30*$F$58/$F$73*$F$85,8)</f>
        <v>-1.6820999999999999E-4</v>
      </c>
      <c r="Q99" s="111">
        <f>ROUND($F$14*$F$44/$F$73*$F$85,8)</f>
        <v>-6.5400000000000001E-6</v>
      </c>
      <c r="R99" s="70">
        <f t="shared" si="3"/>
        <v>-2.8000000000000002E-7</v>
      </c>
      <c r="S99" s="86"/>
      <c r="T99" s="125"/>
      <c r="U99" s="126">
        <f>ROUND($F$12*$F$20*$F$68/$F$73*$F$87,8)</f>
        <v>-1.6666300000000001E-3</v>
      </c>
      <c r="V99" s="87">
        <f t="shared" si="4"/>
        <v>-6.7283000000000002E-4</v>
      </c>
      <c r="W99" s="113">
        <f t="shared" si="5"/>
        <v>-2.6169999999999998E-5</v>
      </c>
      <c r="X99" s="70">
        <f t="shared" si="6"/>
        <v>-1.0999999999999998E-6</v>
      </c>
      <c r="Z99" s="127"/>
      <c r="AA99" s="127"/>
      <c r="AB99" s="127"/>
    </row>
    <row r="100" spans="2:28">
      <c r="B100" s="36" t="s">
        <v>53</v>
      </c>
      <c r="H100" s="125"/>
      <c r="I100" s="126"/>
      <c r="J100" s="40">
        <f t="shared" si="0"/>
        <v>-6.3960999999999998E-4</v>
      </c>
      <c r="K100" s="111">
        <f t="shared" si="1"/>
        <v>-2.4919999999999999E-5</v>
      </c>
      <c r="L100" s="70">
        <f t="shared" si="2"/>
        <v>-1.04E-6</v>
      </c>
      <c r="M100" s="41"/>
      <c r="N100" s="125"/>
      <c r="O100" s="126"/>
      <c r="P100" s="111">
        <f>ROUND($F$13*$F$31*$F$59/$F$73*$F$85,8)</f>
        <v>-1.5990000000000001E-4</v>
      </c>
      <c r="Q100" s="111">
        <f>ROUND($F$14*$F$45/$F$73*$F$85,8)</f>
        <v>-6.2299999999999996E-6</v>
      </c>
      <c r="R100" s="70">
        <f t="shared" si="3"/>
        <v>-2.6E-7</v>
      </c>
      <c r="S100" s="86"/>
      <c r="T100" s="125"/>
      <c r="U100" s="126"/>
      <c r="V100" s="87">
        <f t="shared" si="4"/>
        <v>-6.3960999999999998E-4</v>
      </c>
      <c r="W100" s="113">
        <f t="shared" si="5"/>
        <v>-2.4919999999999999E-5</v>
      </c>
      <c r="X100" s="70">
        <f t="shared" si="6"/>
        <v>-1.04E-6</v>
      </c>
      <c r="Z100" s="127"/>
      <c r="AA100" s="127"/>
      <c r="AB100" s="127"/>
    </row>
    <row r="101" spans="2:28">
      <c r="B101" s="36" t="s">
        <v>3</v>
      </c>
      <c r="H101" s="125"/>
      <c r="I101" s="126"/>
      <c r="J101" s="40">
        <f t="shared" si="0"/>
        <v>-6.8740999999999995E-4</v>
      </c>
      <c r="K101" s="111">
        <f t="shared" si="1"/>
        <v>-2.7659999999999999E-5</v>
      </c>
      <c r="L101" s="70">
        <f t="shared" si="2"/>
        <v>-1.1599999999999999E-6</v>
      </c>
      <c r="M101" s="41"/>
      <c r="N101" s="125"/>
      <c r="O101" s="126"/>
      <c r="P101" s="111">
        <f>ROUND($F$13*$F$32*$F$60/$F$73*$F$85,8)</f>
        <v>-1.7185E-4</v>
      </c>
      <c r="Q101" s="111">
        <f>ROUND($F$14*$F$46/$F$73*$F$85,8)</f>
        <v>-6.9099999999999999E-6</v>
      </c>
      <c r="R101" s="70">
        <f t="shared" si="3"/>
        <v>-2.9000000000000003E-7</v>
      </c>
      <c r="S101" s="86"/>
      <c r="T101" s="125"/>
      <c r="U101" s="126"/>
      <c r="V101" s="87">
        <f t="shared" si="4"/>
        <v>-6.8740999999999995E-4</v>
      </c>
      <c r="W101" s="113">
        <f t="shared" si="5"/>
        <v>-2.7659999999999999E-5</v>
      </c>
      <c r="X101" s="70">
        <f t="shared" si="6"/>
        <v>-1.1599999999999999E-6</v>
      </c>
      <c r="Z101" s="127"/>
      <c r="AA101" s="127"/>
      <c r="AB101" s="127"/>
    </row>
    <row r="102" spans="2:28">
      <c r="B102" s="36" t="s">
        <v>54</v>
      </c>
      <c r="H102" s="125"/>
      <c r="I102" s="126">
        <f>ROUND($F$12*$F$21*$F$69/$F$73*$F$83,8)</f>
        <v>-2.92786E-3</v>
      </c>
      <c r="J102" s="40">
        <f t="shared" si="0"/>
        <v>-8.1532000000000002E-4</v>
      </c>
      <c r="K102" s="111">
        <f t="shared" si="1"/>
        <v>-3.1730000000000003E-5</v>
      </c>
      <c r="L102" s="70">
        <f t="shared" si="2"/>
        <v>-1.33E-6</v>
      </c>
      <c r="M102" s="41"/>
      <c r="N102" s="125"/>
      <c r="O102" s="126">
        <f>ROUND($F$12*$F$21*$F$69/$F$73*$F$85,8)</f>
        <v>-7.3196000000000003E-4</v>
      </c>
      <c r="P102" s="111">
        <f>ROUND($F$13*$F$33*$F$61/$F$73*$F$85,8)</f>
        <v>-2.0383000000000001E-4</v>
      </c>
      <c r="Q102" s="111">
        <f>ROUND($F$14*$F$47/$F$73*$F$85,8)</f>
        <v>-7.9300000000000003E-6</v>
      </c>
      <c r="R102" s="70">
        <f t="shared" si="3"/>
        <v>-3.4000000000000003E-7</v>
      </c>
      <c r="S102" s="86"/>
      <c r="T102" s="125"/>
      <c r="U102" s="126">
        <f>ROUND($F$12*$F$21*$F$69/$F$73*$F$87,8)</f>
        <v>-2.92786E-3</v>
      </c>
      <c r="V102" s="87">
        <f t="shared" si="4"/>
        <v>-8.1532000000000002E-4</v>
      </c>
      <c r="W102" s="113">
        <f t="shared" si="5"/>
        <v>-3.1730000000000003E-5</v>
      </c>
      <c r="X102" s="70">
        <f t="shared" si="6"/>
        <v>-1.33E-6</v>
      </c>
      <c r="Z102" s="127"/>
      <c r="AA102" s="127"/>
      <c r="AB102" s="127"/>
    </row>
    <row r="103" spans="2:28">
      <c r="B103" s="36" t="s">
        <v>4</v>
      </c>
      <c r="H103" s="125"/>
      <c r="I103" s="126"/>
      <c r="J103" s="40">
        <f t="shared" si="0"/>
        <v>-1.1716000000000001E-3</v>
      </c>
      <c r="K103" s="111">
        <f t="shared" si="1"/>
        <v>-4.7089999999999998E-5</v>
      </c>
      <c r="L103" s="70">
        <f t="shared" si="2"/>
        <v>-1.9699999999999998E-6</v>
      </c>
      <c r="M103" s="41"/>
      <c r="N103" s="125"/>
      <c r="O103" s="126"/>
      <c r="P103" s="111">
        <f>ROUND($F$13*$F$34*$F$62/$F$73*$F$85,8)</f>
        <v>-2.9290000000000002E-4</v>
      </c>
      <c r="Q103" s="111">
        <f>ROUND($F$14*$F$48/$F$73*$F$85,8)</f>
        <v>-1.1770000000000001E-5</v>
      </c>
      <c r="R103" s="70">
        <f t="shared" si="3"/>
        <v>-4.9999999999999998E-7</v>
      </c>
      <c r="S103" s="86"/>
      <c r="T103" s="125"/>
      <c r="U103" s="126"/>
      <c r="V103" s="87">
        <f t="shared" si="4"/>
        <v>-1.1716000000000001E-3</v>
      </c>
      <c r="W103" s="113">
        <f t="shared" si="5"/>
        <v>-4.7089999999999998E-5</v>
      </c>
      <c r="X103" s="70">
        <f t="shared" si="6"/>
        <v>-1.9699999999999998E-6</v>
      </c>
      <c r="Z103" s="127"/>
      <c r="AA103" s="127"/>
      <c r="AB103" s="127"/>
    </row>
    <row r="104" spans="2:28">
      <c r="B104" s="36" t="s">
        <v>5</v>
      </c>
      <c r="H104" s="125"/>
      <c r="I104" s="126"/>
      <c r="J104" s="40">
        <f t="shared" si="0"/>
        <v>-1.52564E-3</v>
      </c>
      <c r="K104" s="111">
        <f t="shared" si="1"/>
        <v>-5.9349999999999999E-5</v>
      </c>
      <c r="L104" s="70">
        <f t="shared" si="2"/>
        <v>-2.48E-6</v>
      </c>
      <c r="M104" s="41"/>
      <c r="N104" s="125"/>
      <c r="O104" s="126"/>
      <c r="P104" s="111">
        <f>ROUND($F$13*$F$35*$F$63/$F$73*$F$85,8)</f>
        <v>-3.8141E-4</v>
      </c>
      <c r="Q104" s="111">
        <f>ROUND($F$14*$F$49/$F$73*$F$85,8)</f>
        <v>-1.484E-5</v>
      </c>
      <c r="R104" s="70">
        <f t="shared" si="3"/>
        <v>-6.1999999999999999E-7</v>
      </c>
      <c r="S104" s="86"/>
      <c r="T104" s="125"/>
      <c r="U104" s="126"/>
      <c r="V104" s="87">
        <f t="shared" si="4"/>
        <v>-1.52564E-3</v>
      </c>
      <c r="W104" s="113">
        <f t="shared" si="5"/>
        <v>-5.9349999999999999E-5</v>
      </c>
      <c r="X104" s="70">
        <f t="shared" si="6"/>
        <v>-2.48E-6</v>
      </c>
      <c r="Z104" s="127"/>
      <c r="AA104" s="127"/>
      <c r="AB104" s="127"/>
    </row>
    <row r="105" spans="2:28">
      <c r="L105" s="71"/>
      <c r="R105" s="67"/>
      <c r="S105" s="67"/>
      <c r="T105" s="67"/>
      <c r="U105" s="67"/>
      <c r="V105" s="67"/>
      <c r="W105" s="67"/>
      <c r="X105" s="67"/>
    </row>
    <row r="106" spans="2:28">
      <c r="L106" s="71"/>
      <c r="R106" s="67"/>
      <c r="S106" s="67"/>
      <c r="T106" s="67"/>
      <c r="U106" s="67"/>
      <c r="V106" s="67"/>
      <c r="W106" s="67"/>
      <c r="X106" s="67"/>
    </row>
    <row r="107" spans="2:28" s="21" customFormat="1">
      <c r="B107" s="37" t="s">
        <v>55</v>
      </c>
      <c r="H107" s="37" t="s">
        <v>35</v>
      </c>
      <c r="I107" s="37"/>
      <c r="J107" s="37"/>
      <c r="K107" s="37"/>
      <c r="L107" s="77"/>
      <c r="M107" s="37"/>
      <c r="N107" s="37" t="s">
        <v>0</v>
      </c>
      <c r="O107" s="37"/>
      <c r="P107" s="37"/>
      <c r="Q107" s="37"/>
      <c r="R107" s="77"/>
      <c r="S107" s="72"/>
      <c r="T107" s="72"/>
      <c r="U107" s="72"/>
      <c r="V107" s="72"/>
      <c r="W107" s="72"/>
      <c r="X107" s="72"/>
    </row>
    <row r="108" spans="2:28" s="23" customFormat="1">
      <c r="B108" s="38" t="s">
        <v>56</v>
      </c>
      <c r="H108" s="38" t="s">
        <v>38</v>
      </c>
      <c r="I108" s="38" t="s">
        <v>39</v>
      </c>
      <c r="J108" s="38" t="s">
        <v>40</v>
      </c>
      <c r="K108" s="38" t="s">
        <v>41</v>
      </c>
      <c r="L108" s="78" t="s">
        <v>1</v>
      </c>
      <c r="M108" s="38"/>
      <c r="N108" s="38" t="s">
        <v>38</v>
      </c>
      <c r="O108" s="38" t="s">
        <v>39</v>
      </c>
      <c r="P108" s="38" t="s">
        <v>40</v>
      </c>
      <c r="Q108" s="38" t="s">
        <v>41</v>
      </c>
      <c r="R108" s="78" t="s">
        <v>1</v>
      </c>
      <c r="S108" s="73"/>
      <c r="T108" s="73"/>
      <c r="U108" s="73"/>
      <c r="V108" s="73"/>
      <c r="W108" s="73"/>
      <c r="X108" s="73"/>
    </row>
    <row r="109" spans="2:28" s="22" customFormat="1">
      <c r="B109" s="39"/>
      <c r="H109" s="39" t="s">
        <v>42</v>
      </c>
      <c r="I109" s="39" t="s">
        <v>43</v>
      </c>
      <c r="J109" s="39" t="s">
        <v>44</v>
      </c>
      <c r="K109" s="39" t="s">
        <v>45</v>
      </c>
      <c r="L109" s="79" t="s">
        <v>46</v>
      </c>
      <c r="M109" s="39"/>
      <c r="N109" s="39" t="s">
        <v>42</v>
      </c>
      <c r="O109" s="39" t="s">
        <v>43</v>
      </c>
      <c r="P109" s="39" t="s">
        <v>44</v>
      </c>
      <c r="Q109" s="39" t="s">
        <v>45</v>
      </c>
      <c r="R109" s="79" t="s">
        <v>46</v>
      </c>
      <c r="S109" s="74"/>
      <c r="T109" s="74"/>
      <c r="U109" s="74"/>
      <c r="V109" s="74"/>
      <c r="W109" s="74"/>
      <c r="X109" s="74"/>
    </row>
    <row r="110" spans="2:28">
      <c r="L110" s="71"/>
      <c r="R110" s="67"/>
      <c r="S110" s="67"/>
      <c r="T110" s="67"/>
      <c r="U110" s="67"/>
      <c r="V110" s="67"/>
      <c r="W110" s="67"/>
      <c r="X110" s="67"/>
    </row>
    <row r="111" spans="2:28" ht="12.75" customHeight="1">
      <c r="B111" s="36" t="s">
        <v>47</v>
      </c>
      <c r="H111" s="125">
        <f>ROUND(F84,8)</f>
        <v>-7.8265599999999998E-3</v>
      </c>
      <c r="I111" s="126">
        <f>ROUND($F$12*$F$18*$F$66/$F$73*$F$84,8)</f>
        <v>-3.5750199999999999E-3</v>
      </c>
      <c r="J111" s="40">
        <f t="shared" ref="J111:J122" si="7">ROUND($F$13*$F24*$F52/$F$73*$F$84,8)</f>
        <v>-1.7099999999999999E-3</v>
      </c>
      <c r="K111" s="111">
        <f t="shared" ref="K111:K122" si="8">ROUND($F$14*$F38/$F$73*$F$84,8)</f>
        <v>-6.6530000000000002E-5</v>
      </c>
      <c r="L111" s="70">
        <f t="shared" ref="L111:L122" si="9">ROUNDUP($F$15*$F38/$F$74*$F$84,8)</f>
        <v>-2.7800000000000001E-6</v>
      </c>
      <c r="N111" s="125">
        <f>ROUND(F86,8)</f>
        <v>-1.9566399999999999E-3</v>
      </c>
      <c r="O111" s="126">
        <f>ROUND($F$12*$F$18*$F$66/$F$73*$F$86,8)</f>
        <v>-8.9375999999999995E-4</v>
      </c>
      <c r="P111" s="111">
        <f t="shared" ref="P111:P122" si="10">ROUND($F$13*$F24*$F52/$F$73*$F$86,8)</f>
        <v>-4.2749999999999998E-4</v>
      </c>
      <c r="Q111" s="111">
        <f t="shared" ref="Q111:Q122" si="11">ROUND($F$14*$F38/$F$73*$F$86,8)</f>
        <v>-1.6629999999999998E-5</v>
      </c>
      <c r="R111" s="70">
        <f t="shared" ref="R111:R122" si="12">ROUNDUP($F$15*$F38/$F$74*$F$86,8)</f>
        <v>-6.9999999999999997E-7</v>
      </c>
      <c r="S111" s="86"/>
      <c r="T111" s="127" t="s">
        <v>172</v>
      </c>
      <c r="U111" s="127"/>
      <c r="V111" s="127"/>
      <c r="W111" s="86"/>
      <c r="X111" s="86"/>
    </row>
    <row r="112" spans="2:28">
      <c r="B112" s="36" t="s">
        <v>48</v>
      </c>
      <c r="H112" s="125"/>
      <c r="I112" s="126"/>
      <c r="J112" s="40">
        <f t="shared" si="7"/>
        <v>-1.3806000000000001E-3</v>
      </c>
      <c r="K112" s="111">
        <f t="shared" si="8"/>
        <v>-5.948E-5</v>
      </c>
      <c r="L112" s="70">
        <f t="shared" si="9"/>
        <v>-2.48E-6</v>
      </c>
      <c r="N112" s="125"/>
      <c r="O112" s="126"/>
      <c r="P112" s="111">
        <f t="shared" si="10"/>
        <v>-3.4515000000000001E-4</v>
      </c>
      <c r="Q112" s="111">
        <f t="shared" si="11"/>
        <v>-1.487E-5</v>
      </c>
      <c r="R112" s="70">
        <f t="shared" si="12"/>
        <v>-6.1999999999999999E-7</v>
      </c>
      <c r="S112" s="86"/>
      <c r="T112" s="127"/>
      <c r="U112" s="127"/>
      <c r="V112" s="127"/>
      <c r="W112" s="86"/>
      <c r="X112" s="86"/>
    </row>
    <row r="113" spans="2:24">
      <c r="B113" s="36" t="s">
        <v>49</v>
      </c>
      <c r="H113" s="125"/>
      <c r="I113" s="126"/>
      <c r="J113" s="40">
        <f t="shared" si="7"/>
        <v>-1.1954999999999999E-3</v>
      </c>
      <c r="K113" s="111">
        <f t="shared" si="8"/>
        <v>-4.6489999999999997E-5</v>
      </c>
      <c r="L113" s="70">
        <f t="shared" si="9"/>
        <v>-1.9400000000000001E-6</v>
      </c>
      <c r="N113" s="125"/>
      <c r="O113" s="126"/>
      <c r="P113" s="111">
        <f t="shared" si="10"/>
        <v>-2.9888000000000001E-4</v>
      </c>
      <c r="Q113" s="111">
        <f t="shared" si="11"/>
        <v>-1.1620000000000001E-5</v>
      </c>
      <c r="R113" s="70">
        <f t="shared" si="12"/>
        <v>-4.8999999999999997E-7</v>
      </c>
      <c r="S113" s="86"/>
      <c r="T113" s="127"/>
      <c r="U113" s="127"/>
      <c r="V113" s="127"/>
      <c r="W113" s="86"/>
      <c r="X113" s="86"/>
    </row>
    <row r="114" spans="2:24">
      <c r="B114" s="36" t="s">
        <v>2</v>
      </c>
      <c r="H114" s="125"/>
      <c r="I114" s="126">
        <f>ROUND($F$12*$F$19*$F$67/$F$73*$F$84,8)</f>
        <v>-1.9122500000000001E-3</v>
      </c>
      <c r="J114" s="40">
        <f t="shared" si="7"/>
        <v>-8.6264000000000002E-4</v>
      </c>
      <c r="K114" s="111">
        <f t="shared" si="8"/>
        <v>-3.4669999999999998E-5</v>
      </c>
      <c r="L114" s="70">
        <f t="shared" si="9"/>
        <v>-1.4499999999999999E-6</v>
      </c>
      <c r="N114" s="125"/>
      <c r="O114" s="126">
        <f>ROUND($F$12*$F$19*$F$67/$F$73*$F$86,8)</f>
        <v>-4.7805999999999999E-4</v>
      </c>
      <c r="P114" s="111">
        <f t="shared" si="10"/>
        <v>-2.1566000000000001E-4</v>
      </c>
      <c r="Q114" s="111">
        <f t="shared" si="11"/>
        <v>-8.67E-6</v>
      </c>
      <c r="R114" s="70">
        <f t="shared" si="12"/>
        <v>-3.7E-7</v>
      </c>
      <c r="S114" s="86"/>
      <c r="T114" s="127"/>
      <c r="U114" s="127"/>
      <c r="V114" s="127"/>
      <c r="W114" s="86"/>
      <c r="X114" s="86"/>
    </row>
    <row r="115" spans="2:24">
      <c r="B115" s="36" t="s">
        <v>50</v>
      </c>
      <c r="H115" s="125"/>
      <c r="I115" s="126"/>
      <c r="J115" s="40">
        <f t="shared" si="7"/>
        <v>-7.8969000000000001E-4</v>
      </c>
      <c r="K115" s="111">
        <f t="shared" si="8"/>
        <v>-3.0729999999999999E-5</v>
      </c>
      <c r="L115" s="70">
        <f t="shared" si="9"/>
        <v>-1.2899999999999999E-6</v>
      </c>
      <c r="N115" s="125"/>
      <c r="O115" s="126"/>
      <c r="P115" s="111">
        <f t="shared" si="10"/>
        <v>-1.9741999999999999E-4</v>
      </c>
      <c r="Q115" s="111">
        <f t="shared" si="11"/>
        <v>-7.6799999999999993E-6</v>
      </c>
      <c r="R115" s="70">
        <f t="shared" si="12"/>
        <v>-3.3000000000000002E-7</v>
      </c>
      <c r="S115" s="86"/>
      <c r="T115" s="127"/>
      <c r="U115" s="127"/>
      <c r="V115" s="127"/>
      <c r="W115" s="86"/>
      <c r="X115" s="86"/>
    </row>
    <row r="116" spans="2:24">
      <c r="B116" s="36" t="s">
        <v>51</v>
      </c>
      <c r="H116" s="125"/>
      <c r="I116" s="126"/>
      <c r="J116" s="40">
        <f t="shared" si="7"/>
        <v>-6.4167E-4</v>
      </c>
      <c r="K116" s="111">
        <f t="shared" si="8"/>
        <v>-2.582E-5</v>
      </c>
      <c r="L116" s="70">
        <f t="shared" si="9"/>
        <v>-1.0799999999999998E-6</v>
      </c>
      <c r="N116" s="125"/>
      <c r="O116" s="126"/>
      <c r="P116" s="111">
        <f t="shared" si="10"/>
        <v>-1.6042000000000001E-4</v>
      </c>
      <c r="Q116" s="111">
        <f t="shared" si="11"/>
        <v>-6.4500000000000001E-6</v>
      </c>
      <c r="R116" s="70">
        <f t="shared" si="12"/>
        <v>-2.7000000000000001E-7</v>
      </c>
      <c r="S116" s="86"/>
      <c r="T116" s="127"/>
      <c r="U116" s="127"/>
      <c r="V116" s="127"/>
      <c r="W116" s="86"/>
      <c r="X116" s="86"/>
    </row>
    <row r="117" spans="2:24">
      <c r="B117" s="36" t="s">
        <v>52</v>
      </c>
      <c r="H117" s="125"/>
      <c r="I117" s="126">
        <f>ROUND($F$12*$F$20*$F$68/$F$73*$F$84,8)</f>
        <v>-1.55105E-3</v>
      </c>
      <c r="J117" s="40">
        <f t="shared" si="7"/>
        <v>-6.2617E-4</v>
      </c>
      <c r="K117" s="111">
        <f t="shared" si="8"/>
        <v>-2.4349999999999999E-5</v>
      </c>
      <c r="L117" s="70">
        <f t="shared" si="9"/>
        <v>-1.02E-6</v>
      </c>
      <c r="N117" s="125"/>
      <c r="O117" s="126">
        <f>ROUND($F$12*$F$20*$F$68/$F$73*$F$86,8)</f>
        <v>-3.8776000000000001E-4</v>
      </c>
      <c r="P117" s="111">
        <f t="shared" si="10"/>
        <v>-1.5653999999999999E-4</v>
      </c>
      <c r="Q117" s="111">
        <f t="shared" si="11"/>
        <v>-6.0900000000000001E-6</v>
      </c>
      <c r="R117" s="70">
        <f t="shared" si="12"/>
        <v>-2.6E-7</v>
      </c>
      <c r="S117" s="86"/>
      <c r="T117" s="127"/>
      <c r="U117" s="127"/>
      <c r="V117" s="127"/>
      <c r="W117" s="86"/>
      <c r="X117" s="86"/>
    </row>
    <row r="118" spans="2:24">
      <c r="B118" s="36" t="s">
        <v>53</v>
      </c>
      <c r="H118" s="125"/>
      <c r="I118" s="126"/>
      <c r="J118" s="40">
        <f t="shared" si="7"/>
        <v>-5.9526000000000002E-4</v>
      </c>
      <c r="K118" s="111">
        <f t="shared" si="8"/>
        <v>-2.319E-5</v>
      </c>
      <c r="L118" s="70">
        <f t="shared" si="9"/>
        <v>-9.6999999999999982E-7</v>
      </c>
      <c r="N118" s="125"/>
      <c r="O118" s="126"/>
      <c r="P118" s="111">
        <f t="shared" si="10"/>
        <v>-1.4881000000000001E-4</v>
      </c>
      <c r="Q118" s="111">
        <f t="shared" si="11"/>
        <v>-5.8000000000000004E-6</v>
      </c>
      <c r="R118" s="70">
        <f t="shared" si="12"/>
        <v>-2.4999999999999999E-7</v>
      </c>
      <c r="S118" s="86"/>
      <c r="T118" s="127"/>
      <c r="U118" s="127"/>
      <c r="V118" s="127"/>
      <c r="W118" s="86"/>
      <c r="X118" s="86"/>
    </row>
    <row r="119" spans="2:24">
      <c r="B119" s="36" t="s">
        <v>3</v>
      </c>
      <c r="H119" s="125"/>
      <c r="I119" s="126"/>
      <c r="J119" s="40">
        <f t="shared" si="7"/>
        <v>-6.3973999999999997E-4</v>
      </c>
      <c r="K119" s="111">
        <f t="shared" si="8"/>
        <v>-2.5740000000000001E-5</v>
      </c>
      <c r="L119" s="70">
        <f t="shared" si="9"/>
        <v>-1.0799999999999998E-6</v>
      </c>
      <c r="N119" s="125"/>
      <c r="O119" s="126"/>
      <c r="P119" s="111">
        <f t="shared" si="10"/>
        <v>-1.5993999999999999E-4</v>
      </c>
      <c r="Q119" s="111">
        <f t="shared" si="11"/>
        <v>-6.4400000000000002E-6</v>
      </c>
      <c r="R119" s="70">
        <f t="shared" si="12"/>
        <v>-2.7000000000000001E-7</v>
      </c>
      <c r="S119" s="86"/>
      <c r="T119" s="127"/>
      <c r="U119" s="127"/>
      <c r="V119" s="127"/>
      <c r="W119" s="86"/>
      <c r="X119" s="86"/>
    </row>
    <row r="120" spans="2:24">
      <c r="B120" s="36" t="s">
        <v>54</v>
      </c>
      <c r="H120" s="125"/>
      <c r="I120" s="126">
        <f>ROUND($F$12*$F$21*$F$69/$F$73*$F$84,8)</f>
        <v>-2.7248200000000002E-3</v>
      </c>
      <c r="J120" s="40">
        <f t="shared" si="7"/>
        <v>-7.5878000000000002E-4</v>
      </c>
      <c r="K120" s="111">
        <f t="shared" si="8"/>
        <v>-2.953E-5</v>
      </c>
      <c r="L120" s="70">
        <f t="shared" si="9"/>
        <v>-1.24E-6</v>
      </c>
      <c r="N120" s="125"/>
      <c r="O120" s="126">
        <f>ROUND($F$12*$F$21*$F$69/$F$73*$F$86,8)</f>
        <v>-6.8121000000000002E-4</v>
      </c>
      <c r="P120" s="111">
        <f t="shared" si="10"/>
        <v>-1.8969000000000001E-4</v>
      </c>
      <c r="Q120" s="111">
        <f t="shared" si="11"/>
        <v>-7.3799999999999996E-6</v>
      </c>
      <c r="R120" s="70">
        <f t="shared" si="12"/>
        <v>-3.1E-7</v>
      </c>
      <c r="S120" s="86"/>
      <c r="T120" s="127"/>
      <c r="U120" s="127"/>
      <c r="V120" s="127"/>
      <c r="W120" s="86"/>
      <c r="X120" s="86"/>
    </row>
    <row r="121" spans="2:24">
      <c r="B121" s="36" t="s">
        <v>4</v>
      </c>
      <c r="H121" s="125"/>
      <c r="I121" s="126"/>
      <c r="J121" s="40">
        <f t="shared" si="7"/>
        <v>-1.0903600000000001E-3</v>
      </c>
      <c r="K121" s="111">
        <f t="shared" si="8"/>
        <v>-4.3829999999999999E-5</v>
      </c>
      <c r="L121" s="70">
        <f t="shared" si="9"/>
        <v>-1.8299999999999998E-6</v>
      </c>
      <c r="N121" s="125"/>
      <c r="O121" s="126"/>
      <c r="P121" s="111">
        <f t="shared" si="10"/>
        <v>-2.7259000000000002E-4</v>
      </c>
      <c r="Q121" s="111">
        <f t="shared" si="11"/>
        <v>-1.096E-5</v>
      </c>
      <c r="R121" s="70">
        <f t="shared" si="12"/>
        <v>-4.5999999999999999E-7</v>
      </c>
      <c r="S121" s="86"/>
      <c r="T121" s="127"/>
      <c r="U121" s="127"/>
      <c r="V121" s="127"/>
      <c r="W121" s="86"/>
      <c r="X121" s="86"/>
    </row>
    <row r="122" spans="2:24">
      <c r="B122" s="36" t="s">
        <v>5</v>
      </c>
      <c r="H122" s="125"/>
      <c r="I122" s="126"/>
      <c r="J122" s="40">
        <f t="shared" si="7"/>
        <v>-1.4198399999999999E-3</v>
      </c>
      <c r="K122" s="111">
        <f t="shared" si="8"/>
        <v>-5.524E-5</v>
      </c>
      <c r="L122" s="70">
        <f t="shared" si="9"/>
        <v>-2.3099999999999999E-6</v>
      </c>
      <c r="N122" s="125"/>
      <c r="O122" s="126"/>
      <c r="P122" s="111">
        <f t="shared" si="10"/>
        <v>-3.5495999999999998E-4</v>
      </c>
      <c r="Q122" s="111">
        <f t="shared" si="11"/>
        <v>-1.381E-5</v>
      </c>
      <c r="R122" s="70">
        <f t="shared" si="12"/>
        <v>-5.8000000000000006E-7</v>
      </c>
      <c r="S122" s="86"/>
      <c r="T122" s="127"/>
      <c r="U122" s="127"/>
      <c r="V122" s="127"/>
      <c r="W122" s="86"/>
      <c r="X122" s="86"/>
    </row>
    <row r="123" spans="2:24">
      <c r="L123" s="71"/>
      <c r="R123" s="67"/>
      <c r="S123" s="67"/>
      <c r="T123" s="67"/>
      <c r="U123" s="67"/>
      <c r="V123" s="67"/>
      <c r="W123" s="67"/>
      <c r="X123" s="67"/>
    </row>
    <row r="124" spans="2:24">
      <c r="L124" s="71"/>
      <c r="R124" s="67"/>
      <c r="S124" s="67"/>
      <c r="T124" s="67"/>
      <c r="U124" s="67"/>
      <c r="V124" s="67"/>
      <c r="W124" s="67"/>
      <c r="X124" s="67"/>
    </row>
    <row r="125" spans="2:24" s="21" customFormat="1">
      <c r="B125" s="21" t="s">
        <v>57</v>
      </c>
      <c r="H125" s="21" t="s">
        <v>35</v>
      </c>
      <c r="N125" s="21" t="s">
        <v>0</v>
      </c>
      <c r="T125" s="21" t="s">
        <v>61</v>
      </c>
    </row>
    <row r="126" spans="2:24" s="23" customFormat="1">
      <c r="B126" s="23" t="s">
        <v>58</v>
      </c>
      <c r="H126" s="23" t="s">
        <v>38</v>
      </c>
      <c r="I126" s="23" t="s">
        <v>39</v>
      </c>
      <c r="J126" s="23" t="s">
        <v>40</v>
      </c>
      <c r="K126" s="23" t="s">
        <v>41</v>
      </c>
      <c r="L126" s="23" t="s">
        <v>1</v>
      </c>
      <c r="N126" s="23" t="s">
        <v>38</v>
      </c>
      <c r="O126" s="23" t="s">
        <v>39</v>
      </c>
      <c r="P126" s="23" t="s">
        <v>40</v>
      </c>
      <c r="Q126" s="23" t="s">
        <v>41</v>
      </c>
      <c r="R126" s="23" t="s">
        <v>1</v>
      </c>
      <c r="T126" s="23" t="s">
        <v>38</v>
      </c>
      <c r="U126" s="23" t="s">
        <v>39</v>
      </c>
      <c r="V126" s="23" t="s">
        <v>40</v>
      </c>
      <c r="W126" s="23" t="s">
        <v>41</v>
      </c>
      <c r="X126" s="23" t="s">
        <v>1</v>
      </c>
    </row>
    <row r="127" spans="2:24" s="22" customFormat="1">
      <c r="H127" s="22" t="s">
        <v>42</v>
      </c>
      <c r="I127" s="22" t="s">
        <v>43</v>
      </c>
      <c r="J127" s="22" t="s">
        <v>44</v>
      </c>
      <c r="K127" s="22" t="s">
        <v>45</v>
      </c>
      <c r="L127" s="22" t="s">
        <v>46</v>
      </c>
      <c r="N127" s="22" t="s">
        <v>42</v>
      </c>
      <c r="O127" s="22" t="s">
        <v>43</v>
      </c>
      <c r="P127" s="22" t="s">
        <v>44</v>
      </c>
      <c r="Q127" s="22" t="s">
        <v>45</v>
      </c>
      <c r="R127" s="22" t="s">
        <v>46</v>
      </c>
      <c r="T127" s="22" t="s">
        <v>42</v>
      </c>
      <c r="U127" s="22" t="s">
        <v>43</v>
      </c>
      <c r="V127" s="22" t="s">
        <v>44</v>
      </c>
      <c r="W127" s="22" t="s">
        <v>45</v>
      </c>
      <c r="X127" s="22" t="s">
        <v>46</v>
      </c>
    </row>
    <row r="128" spans="2:24">
      <c r="J128" s="41"/>
      <c r="L128" s="71"/>
      <c r="R128" s="67"/>
      <c r="S128" s="67"/>
      <c r="T128" s="67"/>
      <c r="U128" s="67"/>
      <c r="V128" s="67"/>
      <c r="W128" s="67"/>
      <c r="X128" s="67"/>
    </row>
    <row r="129" spans="2:33">
      <c r="B129" s="36" t="s">
        <v>47</v>
      </c>
      <c r="H129" s="125">
        <f>ROUND((1-$F$78)*F83,8)</f>
        <v>-8.4089000000000004E-3</v>
      </c>
      <c r="I129" s="126">
        <f>ROUND((1-$F$78)*$F$12*$F$18*$F$66/$F$73*$F$83,8)</f>
        <v>-3.8410200000000001E-3</v>
      </c>
      <c r="J129" s="40">
        <f t="shared" ref="J129:J140" si="13">ROUND((1-$F$78)*$F$13*$F24*$F52/$F$73*$F$83,8)</f>
        <v>-1.83723E-3</v>
      </c>
      <c r="K129" s="111">
        <f t="shared" ref="K129:K140" si="14">ROUND((1-$F$78)*$F$14*$F38/$F$73*$F$83,8)</f>
        <v>-7.148E-5</v>
      </c>
      <c r="L129" s="70">
        <f t="shared" ref="L129:L140" si="15">ROUNDUP((1-$F$78)*$F$15*$F38/$F$74*$F$83,8)</f>
        <v>-2.9799999999999998E-6</v>
      </c>
      <c r="N129" s="125">
        <f>ROUND((1-F78)*F85,8)</f>
        <v>-2.1022200000000001E-3</v>
      </c>
      <c r="O129" s="126">
        <f>ROUND((1-$F$78)*$F$12*$F$18*$F$66/$F$73*$F$85,8)</f>
        <v>-9.6026E-4</v>
      </c>
      <c r="P129" s="111">
        <f t="shared" ref="P129:P140" si="16">ROUND((1-$F$78)*$F$13*$F24*$F52/$F$73*$F$85,8)</f>
        <v>-4.5930999999999999E-4</v>
      </c>
      <c r="Q129" s="111">
        <f t="shared" ref="Q129:Q140" si="17">ROUND((1-$F$78)*$F$14*$F38/$F$73*$F$85,8)</f>
        <v>-1.787E-5</v>
      </c>
      <c r="R129" s="70">
        <f t="shared" ref="R129:R140" si="18">ROUNDUP((1-$F$78)*$F$15*$F38/$F$74*$F$85,8)</f>
        <v>-7.5000000000000002E-7</v>
      </c>
      <c r="S129" s="86"/>
      <c r="T129" s="125">
        <f>ROUND((1-F78)*F87,8)</f>
        <v>-8.4089000000000004E-3</v>
      </c>
      <c r="U129" s="126">
        <f>ROUND((1-$F$78)*$F$12*$F$18*$F$66/$F$73*$F$87,8)</f>
        <v>-3.8410200000000001E-3</v>
      </c>
      <c r="V129" s="87">
        <f t="shared" ref="V129:V140" si="19">ROUND((1-$F$78)*$F$13*$F24*$F52/$F$73*$F$87,8)</f>
        <v>-1.83723E-3</v>
      </c>
      <c r="W129" s="113">
        <f t="shared" ref="W129:W140" si="20">ROUND((1-$F$78)*$F$14*$F38/$F$73*$F$87,8)</f>
        <v>-7.148E-5</v>
      </c>
      <c r="X129" s="70">
        <f t="shared" ref="X129:X140" si="21">ROUNDUP((1-$F$78)*$F$15*$F38/$F$74*$F$87,8)</f>
        <v>-2.9799999999999998E-6</v>
      </c>
      <c r="AG129" s="69"/>
    </row>
    <row r="130" spans="2:33">
      <c r="B130" s="36" t="s">
        <v>48</v>
      </c>
      <c r="H130" s="125"/>
      <c r="I130" s="126"/>
      <c r="J130" s="40">
        <f t="shared" si="13"/>
        <v>-1.4833299999999999E-3</v>
      </c>
      <c r="K130" s="111">
        <f t="shared" si="14"/>
        <v>-6.3899999999999995E-5</v>
      </c>
      <c r="L130" s="70">
        <f t="shared" si="15"/>
        <v>-2.6699999999999998E-6</v>
      </c>
      <c r="N130" s="125"/>
      <c r="O130" s="126"/>
      <c r="P130" s="111">
        <f t="shared" si="16"/>
        <v>-3.7083E-4</v>
      </c>
      <c r="Q130" s="111">
        <f t="shared" si="17"/>
        <v>-1.5979999999999999E-5</v>
      </c>
      <c r="R130" s="70">
        <f t="shared" si="18"/>
        <v>-6.7000000000000004E-7</v>
      </c>
      <c r="S130" s="86"/>
      <c r="T130" s="125"/>
      <c r="U130" s="126"/>
      <c r="V130" s="87">
        <f t="shared" si="19"/>
        <v>-1.4833299999999999E-3</v>
      </c>
      <c r="W130" s="113">
        <f t="shared" si="20"/>
        <v>-6.3899999999999995E-5</v>
      </c>
      <c r="X130" s="70">
        <f t="shared" si="21"/>
        <v>-2.6699999999999998E-6</v>
      </c>
      <c r="AG130" s="69"/>
    </row>
    <row r="131" spans="2:33">
      <c r="B131" s="36" t="s">
        <v>49</v>
      </c>
      <c r="H131" s="125"/>
      <c r="I131" s="126"/>
      <c r="J131" s="40">
        <f t="shared" si="13"/>
        <v>-1.2844499999999999E-3</v>
      </c>
      <c r="K131" s="111">
        <f t="shared" si="14"/>
        <v>-4.9950000000000001E-5</v>
      </c>
      <c r="L131" s="70">
        <f t="shared" si="15"/>
        <v>-2.0899999999999999E-6</v>
      </c>
      <c r="N131" s="125"/>
      <c r="O131" s="126"/>
      <c r="P131" s="111">
        <f t="shared" si="16"/>
        <v>-3.2110999999999999E-4</v>
      </c>
      <c r="Q131" s="111">
        <f t="shared" si="17"/>
        <v>-1.2490000000000001E-5</v>
      </c>
      <c r="R131" s="70">
        <f t="shared" si="18"/>
        <v>-5.3000000000000001E-7</v>
      </c>
      <c r="S131" s="86"/>
      <c r="T131" s="125"/>
      <c r="U131" s="126"/>
      <c r="V131" s="87">
        <f t="shared" si="19"/>
        <v>-1.2844499999999999E-3</v>
      </c>
      <c r="W131" s="113">
        <f t="shared" si="20"/>
        <v>-4.9950000000000001E-5</v>
      </c>
      <c r="X131" s="70">
        <f t="shared" si="21"/>
        <v>-2.0899999999999999E-6</v>
      </c>
    </row>
    <row r="132" spans="2:33">
      <c r="B132" s="36" t="s">
        <v>2</v>
      </c>
      <c r="H132" s="125"/>
      <c r="I132" s="126">
        <f>ROUND((1-$F$78)*$F$12*$F$19*$F$67/$F$73*$F$83,8)</f>
        <v>-2.0545400000000001E-3</v>
      </c>
      <c r="J132" s="40">
        <f t="shared" si="13"/>
        <v>-9.2681999999999997E-4</v>
      </c>
      <c r="K132" s="111">
        <f t="shared" si="14"/>
        <v>-3.7249999999999997E-5</v>
      </c>
      <c r="L132" s="70">
        <f t="shared" si="15"/>
        <v>-1.5599999999999999E-6</v>
      </c>
      <c r="N132" s="125"/>
      <c r="O132" s="126">
        <f>ROUND((1-$F$78)*$F$12*$F$19*$F$67/$F$73*$F$85,8)</f>
        <v>-5.1362999999999995E-4</v>
      </c>
      <c r="P132" s="111">
        <f t="shared" si="16"/>
        <v>-2.3170999999999999E-4</v>
      </c>
      <c r="Q132" s="111">
        <f t="shared" si="17"/>
        <v>-9.3100000000000006E-6</v>
      </c>
      <c r="R132" s="70">
        <f t="shared" si="18"/>
        <v>-3.9000000000000002E-7</v>
      </c>
      <c r="S132" s="86"/>
      <c r="T132" s="125"/>
      <c r="U132" s="126">
        <f>ROUND((1-$F$78)*$F$12*$F$19*$F$67/$F$73*$F$87,8)</f>
        <v>-2.0545400000000001E-3</v>
      </c>
      <c r="V132" s="87">
        <f t="shared" si="19"/>
        <v>-9.2681999999999997E-4</v>
      </c>
      <c r="W132" s="113">
        <f t="shared" si="20"/>
        <v>-3.7249999999999997E-5</v>
      </c>
      <c r="X132" s="70">
        <f t="shared" si="21"/>
        <v>-1.5599999999999999E-6</v>
      </c>
    </row>
    <row r="133" spans="2:33">
      <c r="B133" s="36" t="s">
        <v>50</v>
      </c>
      <c r="H133" s="125"/>
      <c r="I133" s="126"/>
      <c r="J133" s="40">
        <f t="shared" si="13"/>
        <v>-8.4845000000000005E-4</v>
      </c>
      <c r="K133" s="111">
        <f t="shared" si="14"/>
        <v>-3.3019999999999999E-5</v>
      </c>
      <c r="L133" s="70">
        <f t="shared" si="15"/>
        <v>-1.3799999999999999E-6</v>
      </c>
      <c r="N133" s="125"/>
      <c r="O133" s="126"/>
      <c r="P133" s="111">
        <f t="shared" si="16"/>
        <v>-2.1211E-4</v>
      </c>
      <c r="Q133" s="111">
        <f t="shared" si="17"/>
        <v>-8.2500000000000006E-6</v>
      </c>
      <c r="R133" s="70">
        <f t="shared" si="18"/>
        <v>-3.4999999999999998E-7</v>
      </c>
      <c r="S133" s="86"/>
      <c r="T133" s="125"/>
      <c r="U133" s="126"/>
      <c r="V133" s="87">
        <f t="shared" si="19"/>
        <v>-8.4845000000000005E-4</v>
      </c>
      <c r="W133" s="113">
        <f t="shared" si="20"/>
        <v>-3.3019999999999999E-5</v>
      </c>
      <c r="X133" s="70">
        <f t="shared" si="21"/>
        <v>-1.3799999999999999E-6</v>
      </c>
    </row>
    <row r="134" spans="2:33">
      <c r="B134" s="36" t="s">
        <v>51</v>
      </c>
      <c r="H134" s="125"/>
      <c r="I134" s="126"/>
      <c r="J134" s="40">
        <f t="shared" si="13"/>
        <v>-6.8941E-4</v>
      </c>
      <c r="K134" s="111">
        <f t="shared" si="14"/>
        <v>-2.7739999999999999E-5</v>
      </c>
      <c r="L134" s="70">
        <f t="shared" si="15"/>
        <v>-1.1599999999999999E-6</v>
      </c>
      <c r="N134" s="125"/>
      <c r="O134" s="126"/>
      <c r="P134" s="111">
        <f t="shared" si="16"/>
        <v>-1.7234999999999999E-4</v>
      </c>
      <c r="Q134" s="111">
        <f t="shared" si="17"/>
        <v>-6.9299999999999997E-6</v>
      </c>
      <c r="R134" s="70">
        <f t="shared" si="18"/>
        <v>-2.9000000000000003E-7</v>
      </c>
      <c r="S134" s="86"/>
      <c r="T134" s="125"/>
      <c r="U134" s="126"/>
      <c r="V134" s="87">
        <f t="shared" si="19"/>
        <v>-6.8941E-4</v>
      </c>
      <c r="W134" s="113">
        <f t="shared" si="20"/>
        <v>-2.7739999999999999E-5</v>
      </c>
      <c r="X134" s="70">
        <f t="shared" si="21"/>
        <v>-1.1599999999999999E-6</v>
      </c>
    </row>
    <row r="135" spans="2:33">
      <c r="B135" s="36" t="s">
        <v>52</v>
      </c>
      <c r="H135" s="125"/>
      <c r="I135" s="126">
        <f>ROUND((1-$F$78)*$F$12*$F$20*$F$68/$F$73*$F$83,8)</f>
        <v>-1.66646E-3</v>
      </c>
      <c r="J135" s="40">
        <f t="shared" si="13"/>
        <v>-6.7276E-4</v>
      </c>
      <c r="K135" s="111">
        <f t="shared" si="14"/>
        <v>-2.6169999999999998E-5</v>
      </c>
      <c r="L135" s="70">
        <f t="shared" si="15"/>
        <v>-1.0999999999999998E-6</v>
      </c>
      <c r="N135" s="125"/>
      <c r="O135" s="126">
        <f>ROUND((1-$F$78)*$F$12*$F$20*$F$68/$F$73*$F$85,8)</f>
        <v>-4.1660999999999998E-4</v>
      </c>
      <c r="P135" s="111">
        <f t="shared" si="16"/>
        <v>-1.6819E-4</v>
      </c>
      <c r="Q135" s="111">
        <f t="shared" si="17"/>
        <v>-6.5400000000000001E-6</v>
      </c>
      <c r="R135" s="70">
        <f t="shared" si="18"/>
        <v>-2.8000000000000002E-7</v>
      </c>
      <c r="S135" s="86"/>
      <c r="T135" s="125"/>
      <c r="U135" s="126">
        <f>ROUND((1-$F$78)*$F$12*$F$20*$F$68/$F$73*$F$87,8)</f>
        <v>-1.66646E-3</v>
      </c>
      <c r="V135" s="87">
        <f t="shared" si="19"/>
        <v>-6.7276E-4</v>
      </c>
      <c r="W135" s="113">
        <f t="shared" si="20"/>
        <v>-2.6169999999999998E-5</v>
      </c>
      <c r="X135" s="70">
        <f t="shared" si="21"/>
        <v>-1.0999999999999998E-6</v>
      </c>
    </row>
    <row r="136" spans="2:33">
      <c r="B136" s="36" t="s">
        <v>53</v>
      </c>
      <c r="H136" s="125"/>
      <c r="I136" s="126"/>
      <c r="J136" s="40">
        <f t="shared" si="13"/>
        <v>-6.3955000000000001E-4</v>
      </c>
      <c r="K136" s="111">
        <f t="shared" si="14"/>
        <v>-2.4919999999999999E-5</v>
      </c>
      <c r="L136" s="70">
        <f t="shared" si="15"/>
        <v>-1.04E-6</v>
      </c>
      <c r="N136" s="125"/>
      <c r="O136" s="126"/>
      <c r="P136" s="111">
        <f t="shared" si="16"/>
        <v>-1.5988999999999999E-4</v>
      </c>
      <c r="Q136" s="111">
        <f t="shared" si="17"/>
        <v>-6.2299999999999996E-6</v>
      </c>
      <c r="R136" s="70">
        <f t="shared" si="18"/>
        <v>-2.6E-7</v>
      </c>
      <c r="S136" s="86"/>
      <c r="T136" s="125"/>
      <c r="U136" s="126"/>
      <c r="V136" s="87">
        <f t="shared" si="19"/>
        <v>-6.3955000000000001E-4</v>
      </c>
      <c r="W136" s="113">
        <f t="shared" si="20"/>
        <v>-2.4919999999999999E-5</v>
      </c>
      <c r="X136" s="70">
        <f t="shared" si="21"/>
        <v>-1.04E-6</v>
      </c>
    </row>
    <row r="137" spans="2:33">
      <c r="B137" s="36" t="s">
        <v>3</v>
      </c>
      <c r="H137" s="125"/>
      <c r="I137" s="126"/>
      <c r="J137" s="40">
        <f t="shared" si="13"/>
        <v>-6.8734000000000004E-4</v>
      </c>
      <c r="K137" s="111">
        <f t="shared" si="14"/>
        <v>-2.7659999999999999E-5</v>
      </c>
      <c r="L137" s="70">
        <f t="shared" si="15"/>
        <v>-1.1599999999999999E-6</v>
      </c>
      <c r="N137" s="125"/>
      <c r="O137" s="126"/>
      <c r="P137" s="111">
        <f t="shared" si="16"/>
        <v>-1.7184000000000001E-4</v>
      </c>
      <c r="Q137" s="111">
        <f t="shared" si="17"/>
        <v>-6.9099999999999999E-6</v>
      </c>
      <c r="R137" s="70">
        <f t="shared" si="18"/>
        <v>-2.9000000000000003E-7</v>
      </c>
      <c r="S137" s="86"/>
      <c r="T137" s="125"/>
      <c r="U137" s="126"/>
      <c r="V137" s="87">
        <f t="shared" si="19"/>
        <v>-6.8734000000000004E-4</v>
      </c>
      <c r="W137" s="113">
        <f t="shared" si="20"/>
        <v>-2.7659999999999999E-5</v>
      </c>
      <c r="X137" s="70">
        <f t="shared" si="21"/>
        <v>-1.1599999999999999E-6</v>
      </c>
    </row>
    <row r="138" spans="2:33">
      <c r="B138" s="36" t="s">
        <v>54</v>
      </c>
      <c r="H138" s="125"/>
      <c r="I138" s="126">
        <f>ROUND((1-$F$78)*$F$12*$F$21*$F$69/$F$73*$F$83,8)</f>
        <v>-2.9275600000000001E-3</v>
      </c>
      <c r="J138" s="40">
        <f t="shared" si="13"/>
        <v>-8.1523999999999995E-4</v>
      </c>
      <c r="K138" s="111">
        <f t="shared" si="14"/>
        <v>-3.1730000000000003E-5</v>
      </c>
      <c r="L138" s="70">
        <f t="shared" si="15"/>
        <v>-1.33E-6</v>
      </c>
      <c r="N138" s="125"/>
      <c r="O138" s="126">
        <f>ROUND((1-$F$78)*$F$12*$F$21*$F$69/$F$73*$F$85,8)</f>
        <v>-7.3189000000000001E-4</v>
      </c>
      <c r="P138" s="111">
        <f t="shared" si="16"/>
        <v>-2.0380999999999999E-4</v>
      </c>
      <c r="Q138" s="111">
        <f t="shared" si="17"/>
        <v>-7.9300000000000003E-6</v>
      </c>
      <c r="R138" s="70">
        <f t="shared" si="18"/>
        <v>-3.4000000000000003E-7</v>
      </c>
      <c r="S138" s="86"/>
      <c r="T138" s="125"/>
      <c r="U138" s="126">
        <f>ROUND((1-$F$78)*$F$12*$F$21*$F$69/$F$73*$F$87,8)</f>
        <v>-2.9275600000000001E-3</v>
      </c>
      <c r="V138" s="87">
        <f t="shared" si="19"/>
        <v>-8.1523999999999995E-4</v>
      </c>
      <c r="W138" s="113">
        <f t="shared" si="20"/>
        <v>-3.1730000000000003E-5</v>
      </c>
      <c r="X138" s="70">
        <f t="shared" si="21"/>
        <v>-1.33E-6</v>
      </c>
    </row>
    <row r="139" spans="2:33">
      <c r="B139" s="36" t="s">
        <v>4</v>
      </c>
      <c r="H139" s="125"/>
      <c r="I139" s="126"/>
      <c r="J139" s="40">
        <f t="shared" si="13"/>
        <v>-1.1714900000000001E-3</v>
      </c>
      <c r="K139" s="111">
        <f t="shared" si="14"/>
        <v>-4.7089999999999998E-5</v>
      </c>
      <c r="L139" s="70">
        <f t="shared" si="15"/>
        <v>-1.9699999999999998E-6</v>
      </c>
      <c r="N139" s="125"/>
      <c r="O139" s="126"/>
      <c r="P139" s="111">
        <f t="shared" si="16"/>
        <v>-2.9286999999999998E-4</v>
      </c>
      <c r="Q139" s="111">
        <f t="shared" si="17"/>
        <v>-1.1770000000000001E-5</v>
      </c>
      <c r="R139" s="70">
        <f t="shared" si="18"/>
        <v>-4.9999999999999998E-7</v>
      </c>
      <c r="S139" s="86"/>
      <c r="T139" s="125"/>
      <c r="U139" s="126"/>
      <c r="V139" s="87">
        <f t="shared" si="19"/>
        <v>-1.1714900000000001E-3</v>
      </c>
      <c r="W139" s="113">
        <f t="shared" si="20"/>
        <v>-4.7089999999999998E-5</v>
      </c>
      <c r="X139" s="70">
        <f t="shared" si="21"/>
        <v>-1.9699999999999998E-6</v>
      </c>
    </row>
    <row r="140" spans="2:33">
      <c r="B140" s="36" t="s">
        <v>5</v>
      </c>
      <c r="H140" s="125"/>
      <c r="I140" s="126"/>
      <c r="J140" s="40">
        <f t="shared" si="13"/>
        <v>-1.52549E-3</v>
      </c>
      <c r="K140" s="111">
        <f t="shared" si="14"/>
        <v>-5.9349999999999999E-5</v>
      </c>
      <c r="L140" s="70">
        <f t="shared" si="15"/>
        <v>-2.48E-6</v>
      </c>
      <c r="N140" s="125"/>
      <c r="O140" s="126"/>
      <c r="P140" s="111">
        <f t="shared" si="16"/>
        <v>-3.8137000000000002E-4</v>
      </c>
      <c r="Q140" s="111">
        <f t="shared" si="17"/>
        <v>-1.484E-5</v>
      </c>
      <c r="R140" s="70">
        <f t="shared" si="18"/>
        <v>-6.1999999999999999E-7</v>
      </c>
      <c r="S140" s="86"/>
      <c r="T140" s="125"/>
      <c r="U140" s="126"/>
      <c r="V140" s="87">
        <f t="shared" si="19"/>
        <v>-1.52549E-3</v>
      </c>
      <c r="W140" s="113">
        <f t="shared" si="20"/>
        <v>-5.9349999999999999E-5</v>
      </c>
      <c r="X140" s="70">
        <f t="shared" si="21"/>
        <v>-2.48E-6</v>
      </c>
    </row>
    <row r="141" spans="2:33">
      <c r="L141" s="71"/>
      <c r="R141" s="67"/>
      <c r="S141" s="67"/>
      <c r="T141" s="67"/>
      <c r="U141" s="67"/>
      <c r="V141" s="67"/>
      <c r="W141" s="67"/>
      <c r="X141" s="67"/>
    </row>
    <row r="142" spans="2:33" s="21" customFormat="1">
      <c r="B142" s="21" t="s">
        <v>59</v>
      </c>
      <c r="H142" s="21" t="s">
        <v>35</v>
      </c>
      <c r="N142" s="21" t="s">
        <v>0</v>
      </c>
      <c r="S142" s="72"/>
      <c r="T142" s="72"/>
      <c r="U142" s="72"/>
      <c r="V142" s="72"/>
      <c r="W142" s="72"/>
      <c r="X142" s="72"/>
    </row>
    <row r="143" spans="2:33" s="23" customFormat="1">
      <c r="B143" s="23" t="s">
        <v>60</v>
      </c>
      <c r="H143" s="23" t="s">
        <v>38</v>
      </c>
      <c r="I143" s="23" t="s">
        <v>39</v>
      </c>
      <c r="J143" s="23" t="s">
        <v>40</v>
      </c>
      <c r="K143" s="23" t="s">
        <v>41</v>
      </c>
      <c r="L143" s="23" t="s">
        <v>1</v>
      </c>
      <c r="N143" s="23" t="s">
        <v>38</v>
      </c>
      <c r="O143" s="23" t="s">
        <v>39</v>
      </c>
      <c r="P143" s="23" t="s">
        <v>40</v>
      </c>
      <c r="Q143" s="23" t="s">
        <v>41</v>
      </c>
      <c r="R143" s="23" t="s">
        <v>1</v>
      </c>
      <c r="S143" s="73"/>
      <c r="T143" s="73"/>
      <c r="U143" s="73"/>
      <c r="V143" s="73"/>
      <c r="W143" s="73"/>
      <c r="X143" s="73"/>
    </row>
    <row r="144" spans="2:33" s="22" customFormat="1">
      <c r="H144" s="22" t="s">
        <v>42</v>
      </c>
      <c r="I144" s="22" t="s">
        <v>43</v>
      </c>
      <c r="J144" s="22" t="s">
        <v>44</v>
      </c>
      <c r="K144" s="22" t="s">
        <v>45</v>
      </c>
      <c r="L144" s="22" t="s">
        <v>46</v>
      </c>
      <c r="N144" s="22" t="s">
        <v>42</v>
      </c>
      <c r="O144" s="22" t="s">
        <v>43</v>
      </c>
      <c r="P144" s="22" t="s">
        <v>44</v>
      </c>
      <c r="Q144" s="22" t="s">
        <v>45</v>
      </c>
      <c r="R144" s="22" t="s">
        <v>46</v>
      </c>
      <c r="S144" s="74"/>
      <c r="T144" s="74"/>
      <c r="U144" s="74"/>
      <c r="V144" s="74"/>
      <c r="W144" s="74"/>
      <c r="X144" s="74"/>
    </row>
    <row r="145" spans="2:24">
      <c r="L145" s="71"/>
      <c r="R145" s="67"/>
      <c r="S145" s="67"/>
      <c r="T145" s="67"/>
      <c r="U145" s="67"/>
      <c r="V145" s="67"/>
      <c r="W145" s="67"/>
      <c r="X145" s="67"/>
    </row>
    <row r="146" spans="2:24">
      <c r="B146" s="36" t="s">
        <v>47</v>
      </c>
      <c r="H146" s="125">
        <f>ROUND((1-$F$79)*F84,8)</f>
        <v>-7.8257699999999993E-3</v>
      </c>
      <c r="I146" s="126">
        <f>ROUND((1-$F$79)*$F$12*$F$18*$F$66/$F$73*$F$84,8)</f>
        <v>-3.5746599999999999E-3</v>
      </c>
      <c r="J146" s="40">
        <f t="shared" ref="J146:J157" si="22">ROUND((1-$F$79)*$F$13*$F24*$F52/$F$73*$F$84,8)</f>
        <v>-1.7098199999999999E-3</v>
      </c>
      <c r="K146" s="111">
        <f t="shared" ref="K146:K157" si="23">ROUND((1-$F$79)*$F$14*$F38/$F$73*$F$84,8)</f>
        <v>-6.6519999999999993E-5</v>
      </c>
      <c r="L146" s="70">
        <f t="shared" ref="L146:L157" si="24">ROUNDUP((1-$F$79)*$F$15*$F38/$F$74*$F$84,8)</f>
        <v>-2.7800000000000001E-6</v>
      </c>
      <c r="N146" s="125">
        <f>ROUND((1-$F$79)*F86,8)</f>
        <v>-1.9564399999999998E-3</v>
      </c>
      <c r="O146" s="126">
        <f>ROUND((1-$F$79)*$F$12*$F$18*$F$66/$F$73*$F$86,8)</f>
        <v>-8.9366999999999995E-4</v>
      </c>
      <c r="P146" s="111">
        <f t="shared" ref="P146:P157" si="25">ROUND((1-$F$79)*$F$13*$F24*$F52/$F$73*$F$86,8)</f>
        <v>-4.2746E-4</v>
      </c>
      <c r="Q146" s="111">
        <f t="shared" ref="Q146:Q157" si="26">ROUND((1-$F$79)*$F$14*$F38/$F$73*$F$86,8)</f>
        <v>-1.6629999999999998E-5</v>
      </c>
      <c r="R146" s="70">
        <f t="shared" ref="R146:R157" si="27">ROUNDUP((1-$F$79)*$F$15*$F38/$F$74*$F$86,8)</f>
        <v>-6.9999999999999997E-7</v>
      </c>
      <c r="S146" s="86"/>
      <c r="T146" s="86"/>
      <c r="U146" s="86"/>
      <c r="V146" s="86"/>
      <c r="W146" s="86"/>
      <c r="X146" s="86"/>
    </row>
    <row r="147" spans="2:24">
      <c r="B147" s="36" t="s">
        <v>48</v>
      </c>
      <c r="H147" s="125"/>
      <c r="I147" s="126"/>
      <c r="J147" s="40">
        <f t="shared" si="22"/>
        <v>-1.38047E-3</v>
      </c>
      <c r="K147" s="111">
        <f t="shared" si="23"/>
        <v>-5.9469999999999998E-5</v>
      </c>
      <c r="L147" s="70">
        <f t="shared" si="24"/>
        <v>-2.48E-6</v>
      </c>
      <c r="N147" s="125"/>
      <c r="O147" s="126"/>
      <c r="P147" s="111">
        <f t="shared" si="25"/>
        <v>-3.4511999999999998E-4</v>
      </c>
      <c r="Q147" s="111">
        <f t="shared" si="26"/>
        <v>-1.487E-5</v>
      </c>
      <c r="R147" s="70">
        <f t="shared" si="27"/>
        <v>-6.1999999999999999E-7</v>
      </c>
      <c r="S147" s="86"/>
      <c r="T147" s="86"/>
      <c r="U147" s="86"/>
      <c r="V147" s="86"/>
      <c r="W147" s="86"/>
      <c r="X147" s="86"/>
    </row>
    <row r="148" spans="2:24">
      <c r="B148" s="36" t="s">
        <v>49</v>
      </c>
      <c r="H148" s="125"/>
      <c r="I148" s="126"/>
      <c r="J148" s="40">
        <f t="shared" si="22"/>
        <v>-1.19538E-3</v>
      </c>
      <c r="K148" s="111">
        <f t="shared" si="23"/>
        <v>-4.6489999999999997E-5</v>
      </c>
      <c r="L148" s="70">
        <f t="shared" si="24"/>
        <v>-1.9400000000000001E-6</v>
      </c>
      <c r="N148" s="125"/>
      <c r="O148" s="126"/>
      <c r="P148" s="111">
        <f t="shared" si="25"/>
        <v>-2.9885000000000003E-4</v>
      </c>
      <c r="Q148" s="111">
        <f t="shared" si="26"/>
        <v>-1.1620000000000001E-5</v>
      </c>
      <c r="R148" s="70">
        <f t="shared" si="27"/>
        <v>-4.8999999999999997E-7</v>
      </c>
      <c r="S148" s="86"/>
      <c r="T148" s="86"/>
      <c r="U148" s="86"/>
      <c r="V148" s="86"/>
      <c r="W148" s="86"/>
      <c r="X148" s="86"/>
    </row>
    <row r="149" spans="2:24">
      <c r="B149" s="36" t="s">
        <v>2</v>
      </c>
      <c r="H149" s="125"/>
      <c r="I149" s="126">
        <f>ROUND((1-$F$79)*$F$12*$F$19*$F$67/$F$73*$F$84,8)</f>
        <v>-1.9120599999999999E-3</v>
      </c>
      <c r="J149" s="40">
        <f t="shared" si="22"/>
        <v>-8.6255000000000001E-4</v>
      </c>
      <c r="K149" s="111">
        <f t="shared" si="23"/>
        <v>-3.4669999999999998E-5</v>
      </c>
      <c r="L149" s="70">
        <f t="shared" si="24"/>
        <v>-1.4499999999999999E-6</v>
      </c>
      <c r="N149" s="125"/>
      <c r="O149" s="126">
        <f>ROUND((1-$F$79)*$F$12*$F$19*$F$67/$F$73*$F$86,8)</f>
        <v>-4.7802000000000001E-4</v>
      </c>
      <c r="P149" s="111">
        <f t="shared" si="25"/>
        <v>-2.1563999999999999E-4</v>
      </c>
      <c r="Q149" s="111">
        <f t="shared" si="26"/>
        <v>-8.67E-6</v>
      </c>
      <c r="R149" s="70">
        <f t="shared" si="27"/>
        <v>-3.7E-7</v>
      </c>
      <c r="S149" s="86"/>
      <c r="T149" s="86"/>
      <c r="U149" s="86"/>
      <c r="V149" s="86"/>
      <c r="W149" s="86"/>
      <c r="X149" s="86"/>
    </row>
    <row r="150" spans="2:24">
      <c r="B150" s="36" t="s">
        <v>50</v>
      </c>
      <c r="H150" s="125"/>
      <c r="I150" s="126"/>
      <c r="J150" s="40">
        <f t="shared" si="22"/>
        <v>-7.8961000000000005E-4</v>
      </c>
      <c r="K150" s="111">
        <f t="shared" si="23"/>
        <v>-3.0729999999999999E-5</v>
      </c>
      <c r="L150" s="70">
        <f t="shared" si="24"/>
        <v>-1.2899999999999999E-6</v>
      </c>
      <c r="N150" s="125"/>
      <c r="O150" s="126"/>
      <c r="P150" s="111">
        <f t="shared" si="25"/>
        <v>-1.974E-4</v>
      </c>
      <c r="Q150" s="111">
        <f t="shared" si="26"/>
        <v>-7.6799999999999993E-6</v>
      </c>
      <c r="R150" s="70">
        <f t="shared" si="27"/>
        <v>-3.3000000000000002E-7</v>
      </c>
      <c r="S150" s="86"/>
      <c r="T150" s="86"/>
      <c r="U150" s="86"/>
      <c r="V150" s="86"/>
      <c r="W150" s="86"/>
      <c r="X150" s="86"/>
    </row>
    <row r="151" spans="2:24">
      <c r="B151" s="36" t="s">
        <v>51</v>
      </c>
      <c r="H151" s="125"/>
      <c r="I151" s="126"/>
      <c r="J151" s="40">
        <f t="shared" si="22"/>
        <v>-6.4161000000000003E-4</v>
      </c>
      <c r="K151" s="111">
        <f t="shared" si="23"/>
        <v>-2.5809999999999999E-5</v>
      </c>
      <c r="L151" s="70">
        <f t="shared" si="24"/>
        <v>-1.0799999999999998E-6</v>
      </c>
      <c r="N151" s="125"/>
      <c r="O151" s="126"/>
      <c r="P151" s="111">
        <f t="shared" si="25"/>
        <v>-1.604E-4</v>
      </c>
      <c r="Q151" s="111">
        <f t="shared" si="26"/>
        <v>-6.4500000000000001E-6</v>
      </c>
      <c r="R151" s="70">
        <f t="shared" si="27"/>
        <v>-2.7000000000000001E-7</v>
      </c>
      <c r="S151" s="86"/>
      <c r="T151" s="86"/>
      <c r="U151" s="86"/>
      <c r="V151" s="86"/>
      <c r="W151" s="86"/>
      <c r="X151" s="86"/>
    </row>
    <row r="152" spans="2:24">
      <c r="B152" s="36" t="s">
        <v>52</v>
      </c>
      <c r="H152" s="125"/>
      <c r="I152" s="126">
        <f>ROUND((1-$F$79)*$F$12*$F$20*$F$68/$F$73*$F$84,8)</f>
        <v>-1.5509E-3</v>
      </c>
      <c r="J152" s="40">
        <f t="shared" si="22"/>
        <v>-6.2609999999999999E-4</v>
      </c>
      <c r="K152" s="111">
        <f t="shared" si="23"/>
        <v>-2.4349999999999999E-5</v>
      </c>
      <c r="L152" s="70">
        <f t="shared" si="24"/>
        <v>-1.02E-6</v>
      </c>
      <c r="N152" s="125"/>
      <c r="O152" s="126">
        <f>ROUND((1-$F$79)*$F$12*$F$20*$F$68/$F$73*$F$86,8)</f>
        <v>-3.8771999999999998E-4</v>
      </c>
      <c r="P152" s="111">
        <f t="shared" si="25"/>
        <v>-1.5652999999999999E-4</v>
      </c>
      <c r="Q152" s="111">
        <f t="shared" si="26"/>
        <v>-6.0900000000000001E-6</v>
      </c>
      <c r="R152" s="70">
        <f t="shared" si="27"/>
        <v>-2.6E-7</v>
      </c>
      <c r="S152" s="86"/>
      <c r="T152" s="86"/>
      <c r="U152" s="86"/>
      <c r="V152" s="86"/>
      <c r="W152" s="86"/>
      <c r="X152" s="86"/>
    </row>
    <row r="153" spans="2:24">
      <c r="B153" s="36" t="s">
        <v>53</v>
      </c>
      <c r="H153" s="125"/>
      <c r="I153" s="126"/>
      <c r="J153" s="40">
        <f t="shared" si="22"/>
        <v>-5.9520000000000005E-4</v>
      </c>
      <c r="K153" s="111">
        <f t="shared" si="23"/>
        <v>-2.319E-5</v>
      </c>
      <c r="L153" s="70">
        <f t="shared" si="24"/>
        <v>-9.6999999999999982E-7</v>
      </c>
      <c r="N153" s="125"/>
      <c r="O153" s="126"/>
      <c r="P153" s="111">
        <f t="shared" si="25"/>
        <v>-1.4880000000000001E-4</v>
      </c>
      <c r="Q153" s="111">
        <f t="shared" si="26"/>
        <v>-5.8000000000000004E-6</v>
      </c>
      <c r="R153" s="70">
        <f t="shared" si="27"/>
        <v>-2.4999999999999999E-7</v>
      </c>
      <c r="S153" s="86"/>
      <c r="T153" s="86"/>
      <c r="U153" s="86"/>
      <c r="V153" s="86"/>
      <c r="W153" s="86"/>
      <c r="X153" s="86"/>
    </row>
    <row r="154" spans="2:24">
      <c r="B154" s="36" t="s">
        <v>3</v>
      </c>
      <c r="H154" s="125"/>
      <c r="I154" s="126"/>
      <c r="J154" s="40">
        <f t="shared" si="22"/>
        <v>-6.3968E-4</v>
      </c>
      <c r="K154" s="111">
        <f t="shared" si="23"/>
        <v>-2.5740000000000001E-5</v>
      </c>
      <c r="L154" s="70">
        <f t="shared" si="24"/>
        <v>-1.0799999999999998E-6</v>
      </c>
      <c r="N154" s="125"/>
      <c r="O154" s="126"/>
      <c r="P154" s="111">
        <f t="shared" si="25"/>
        <v>-1.5992E-4</v>
      </c>
      <c r="Q154" s="111">
        <f t="shared" si="26"/>
        <v>-6.4300000000000003E-6</v>
      </c>
      <c r="R154" s="70">
        <f t="shared" si="27"/>
        <v>-2.7000000000000001E-7</v>
      </c>
      <c r="S154" s="86"/>
      <c r="T154" s="86"/>
      <c r="U154" s="86"/>
      <c r="V154" s="86"/>
      <c r="W154" s="86"/>
      <c r="X154" s="86"/>
    </row>
    <row r="155" spans="2:24">
      <c r="B155" s="36" t="s">
        <v>54</v>
      </c>
      <c r="H155" s="125"/>
      <c r="I155" s="126">
        <f>ROUND((1-$F$79)*$F$12*$F$21*$F$69/$F$73*$F$84,8)</f>
        <v>-2.7245500000000001E-3</v>
      </c>
      <c r="J155" s="40">
        <f t="shared" si="22"/>
        <v>-7.5869999999999996E-4</v>
      </c>
      <c r="K155" s="111">
        <f t="shared" si="23"/>
        <v>-2.953E-5</v>
      </c>
      <c r="L155" s="70">
        <f t="shared" si="24"/>
        <v>-1.24E-6</v>
      </c>
      <c r="N155" s="125"/>
      <c r="O155" s="126">
        <f>ROUND((1-$F$79)*$F$12*$F$21*$F$69/$F$73*$F$86,8)</f>
        <v>-6.8114E-4</v>
      </c>
      <c r="P155" s="111">
        <f t="shared" si="25"/>
        <v>-1.8968000000000001E-4</v>
      </c>
      <c r="Q155" s="111">
        <f t="shared" si="26"/>
        <v>-7.3799999999999996E-6</v>
      </c>
      <c r="R155" s="70">
        <f t="shared" si="27"/>
        <v>-3.1E-7</v>
      </c>
      <c r="S155" s="86"/>
      <c r="T155" s="86"/>
      <c r="U155" s="86"/>
      <c r="V155" s="86"/>
      <c r="W155" s="86"/>
      <c r="X155" s="86"/>
    </row>
    <row r="156" spans="2:24">
      <c r="B156" s="36" t="s">
        <v>4</v>
      </c>
      <c r="H156" s="125"/>
      <c r="I156" s="126"/>
      <c r="J156" s="40">
        <f t="shared" si="22"/>
        <v>-1.0902500000000001E-3</v>
      </c>
      <c r="K156" s="111">
        <f t="shared" si="23"/>
        <v>-4.3819999999999997E-5</v>
      </c>
      <c r="L156" s="70">
        <f t="shared" si="24"/>
        <v>-1.8299999999999998E-6</v>
      </c>
      <c r="N156" s="125"/>
      <c r="O156" s="126"/>
      <c r="P156" s="111">
        <f t="shared" si="25"/>
        <v>-2.7255999999999998E-4</v>
      </c>
      <c r="Q156" s="111">
        <f t="shared" si="26"/>
        <v>-1.096E-5</v>
      </c>
      <c r="R156" s="70">
        <f t="shared" si="27"/>
        <v>-4.5999999999999999E-7</v>
      </c>
      <c r="S156" s="86"/>
      <c r="T156" s="86"/>
      <c r="U156" s="86"/>
      <c r="V156" s="86"/>
      <c r="W156" s="86"/>
      <c r="X156" s="86"/>
    </row>
    <row r="157" spans="2:24">
      <c r="B157" s="36" t="s">
        <v>5</v>
      </c>
      <c r="H157" s="125"/>
      <c r="I157" s="126"/>
      <c r="J157" s="40">
        <f t="shared" si="22"/>
        <v>-1.4197000000000001E-3</v>
      </c>
      <c r="K157" s="111">
        <f t="shared" si="23"/>
        <v>-5.5229999999999998E-5</v>
      </c>
      <c r="L157" s="70">
        <f t="shared" si="24"/>
        <v>-2.3099999999999999E-6</v>
      </c>
      <c r="N157" s="125"/>
      <c r="O157" s="126"/>
      <c r="P157" s="111">
        <f t="shared" si="25"/>
        <v>-3.5492999999999999E-4</v>
      </c>
      <c r="Q157" s="111">
        <f t="shared" si="26"/>
        <v>-1.381E-5</v>
      </c>
      <c r="R157" s="70">
        <f t="shared" si="27"/>
        <v>-5.8000000000000006E-7</v>
      </c>
      <c r="S157" s="86"/>
      <c r="T157" s="86"/>
      <c r="U157" s="86"/>
      <c r="V157" s="86"/>
      <c r="W157" s="86"/>
      <c r="X157" s="86"/>
    </row>
    <row r="158" spans="2:24">
      <c r="H158" s="56"/>
      <c r="I158" s="57"/>
      <c r="J158" s="58"/>
      <c r="K158" s="58"/>
      <c r="L158" s="59"/>
      <c r="N158" s="56"/>
      <c r="O158" s="57"/>
      <c r="P158" s="58"/>
      <c r="Q158" s="58"/>
      <c r="R158" s="59"/>
      <c r="S158" s="59"/>
      <c r="T158" s="59"/>
      <c r="U158" s="59"/>
      <c r="V158" s="59"/>
      <c r="W158" s="59"/>
      <c r="X158" s="59"/>
    </row>
  </sheetData>
  <mergeCells count="53">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V137"/>
  <sheetViews>
    <sheetView showGridLines="0" zoomScale="90" zoomScaleNormal="90" workbookViewId="0">
      <pane xSplit="4" ySplit="7" topLeftCell="E8" activePane="bottomRight" state="frozen"/>
      <selection pane="topRight" activeCell="E1" sqref="E1"/>
      <selection pane="bottomLeft" activeCell="A9" sqref="A9"/>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5" width="12.5703125" style="3" customWidth="1"/>
    <col min="16" max="17" width="13.5703125" style="3" bestFit="1" customWidth="1"/>
    <col min="18" max="18" width="12.5703125" style="3" customWidth="1"/>
    <col min="19" max="19" width="2.5703125" style="3" customWidth="1"/>
    <col min="20" max="20" width="40.140625" style="3" bestFit="1" customWidth="1"/>
    <col min="21" max="21" width="2.5703125" style="3" customWidth="1"/>
    <col min="22" max="35" width="13.5703125" style="3" customWidth="1"/>
    <col min="36" max="16384" width="9.140625" style="3"/>
  </cols>
  <sheetData>
    <row r="2" spans="2:22" s="8" customFormat="1" ht="18">
      <c r="B2" s="8" t="s">
        <v>64</v>
      </c>
    </row>
    <row r="4" spans="2:22">
      <c r="B4" s="109" t="s">
        <v>65</v>
      </c>
      <c r="C4" s="2"/>
      <c r="I4"/>
      <c r="K4"/>
    </row>
    <row r="5" spans="2:22" ht="28.5" customHeight="1">
      <c r="B5" s="117" t="s">
        <v>100</v>
      </c>
      <c r="C5" s="117"/>
      <c r="D5" s="117"/>
      <c r="F5" s="9"/>
    </row>
    <row r="7" spans="2:22" s="6" customFormat="1">
      <c r="B7" s="6" t="s">
        <v>33</v>
      </c>
      <c r="D7" s="6" t="s">
        <v>101</v>
      </c>
      <c r="F7" s="6" t="s">
        <v>171</v>
      </c>
      <c r="H7" s="28">
        <v>2017</v>
      </c>
      <c r="I7" s="31">
        <v>2018</v>
      </c>
      <c r="J7" s="28">
        <v>2019</v>
      </c>
      <c r="K7" s="31">
        <v>2020</v>
      </c>
      <c r="L7" s="28">
        <v>2021</v>
      </c>
      <c r="M7" s="28">
        <v>2022</v>
      </c>
      <c r="N7" s="28">
        <v>2023</v>
      </c>
      <c r="O7" s="28">
        <v>2024</v>
      </c>
      <c r="P7" s="28">
        <v>2025</v>
      </c>
      <c r="Q7" s="28">
        <v>2026</v>
      </c>
      <c r="R7" s="28">
        <v>2027</v>
      </c>
      <c r="T7" s="6" t="s">
        <v>105</v>
      </c>
      <c r="V7" s="6" t="s">
        <v>108</v>
      </c>
    </row>
    <row r="9" spans="2:22" s="6" customFormat="1">
      <c r="B9" s="6" t="s">
        <v>66</v>
      </c>
    </row>
    <row r="11" spans="2:22">
      <c r="B11" s="50" t="s">
        <v>66</v>
      </c>
    </row>
    <row r="12" spans="2:22">
      <c r="B12" s="3" t="s">
        <v>67</v>
      </c>
      <c r="L12" s="48">
        <v>0.02</v>
      </c>
      <c r="M12" s="48">
        <v>0.02</v>
      </c>
      <c r="N12" s="48">
        <v>0.02</v>
      </c>
      <c r="O12" s="48">
        <v>0.04</v>
      </c>
      <c r="P12" s="97">
        <v>7.0000000000000007E-2</v>
      </c>
      <c r="Q12" s="97">
        <v>0.05</v>
      </c>
      <c r="R12" s="97">
        <v>0.04</v>
      </c>
      <c r="T12" s="3" t="s">
        <v>106</v>
      </c>
    </row>
    <row r="14" spans="2:22">
      <c r="B14" s="2" t="s">
        <v>68</v>
      </c>
    </row>
    <row r="15" spans="2:22">
      <c r="B15" s="17" t="s">
        <v>69</v>
      </c>
      <c r="D15" s="3" t="s">
        <v>63</v>
      </c>
      <c r="H15" s="7"/>
      <c r="I15" s="7"/>
      <c r="J15" s="7"/>
      <c r="K15" s="3">
        <v>1</v>
      </c>
      <c r="L15" s="16">
        <f t="shared" ref="L15:Q15" si="0">K15*(1+L$12)</f>
        <v>1.02</v>
      </c>
      <c r="M15" s="16">
        <f t="shared" si="0"/>
        <v>1.0404</v>
      </c>
      <c r="N15" s="16">
        <f t="shared" si="0"/>
        <v>1.0612079999999999</v>
      </c>
      <c r="O15" s="16">
        <f t="shared" si="0"/>
        <v>1.10365632</v>
      </c>
      <c r="P15" s="16">
        <f t="shared" si="0"/>
        <v>1.1809122624000001</v>
      </c>
      <c r="Q15" s="16">
        <f t="shared" si="0"/>
        <v>1.2399578755200003</v>
      </c>
      <c r="R15" s="16">
        <f t="shared" ref="R15:R20" si="1">Q15*(1+R$12)</f>
        <v>1.2895561905408004</v>
      </c>
    </row>
    <row r="16" spans="2:22">
      <c r="B16" s="17" t="s">
        <v>70</v>
      </c>
      <c r="D16" s="3" t="s">
        <v>63</v>
      </c>
      <c r="H16" s="7"/>
      <c r="I16" s="7"/>
      <c r="J16" s="7"/>
      <c r="K16" s="7"/>
      <c r="L16" s="3">
        <v>1</v>
      </c>
      <c r="M16" s="16">
        <f>L16*(1+M$12)</f>
        <v>1.02</v>
      </c>
      <c r="N16" s="16">
        <f>M16*(1+N$12)</f>
        <v>1.0404</v>
      </c>
      <c r="O16" s="16">
        <f>N16*(1+O$12)</f>
        <v>1.0820160000000001</v>
      </c>
      <c r="P16" s="16">
        <f>O16*(1+P$12)</f>
        <v>1.1577571200000001</v>
      </c>
      <c r="Q16" s="16">
        <f>P16*(1+Q$12)</f>
        <v>1.2156449760000001</v>
      </c>
      <c r="R16" s="16">
        <f t="shared" si="1"/>
        <v>1.2642707750400002</v>
      </c>
    </row>
    <row r="17" spans="2:22">
      <c r="B17" s="17" t="s">
        <v>71</v>
      </c>
      <c r="D17" s="3" t="s">
        <v>63</v>
      </c>
      <c r="H17" s="7"/>
      <c r="I17" s="7"/>
      <c r="J17" s="7"/>
      <c r="K17" s="7"/>
      <c r="L17" s="7"/>
      <c r="M17" s="3">
        <v>1</v>
      </c>
      <c r="N17" s="16">
        <f>M17*(1+N$12)</f>
        <v>1.02</v>
      </c>
      <c r="O17" s="16">
        <f>N17*(1+O$12)</f>
        <v>1.0608</v>
      </c>
      <c r="P17" s="16">
        <f>O17*(1+P$12)</f>
        <v>1.1350560000000001</v>
      </c>
      <c r="Q17" s="16">
        <f>P17*(1+Q$12)</f>
        <v>1.1918088000000002</v>
      </c>
      <c r="R17" s="16">
        <f t="shared" si="1"/>
        <v>1.2394811520000002</v>
      </c>
    </row>
    <row r="18" spans="2:22">
      <c r="B18" s="17" t="s">
        <v>72</v>
      </c>
      <c r="D18" s="3" t="s">
        <v>63</v>
      </c>
      <c r="H18" s="7"/>
      <c r="I18" s="7"/>
      <c r="J18" s="7"/>
      <c r="K18" s="7"/>
      <c r="L18" s="7"/>
      <c r="M18" s="7"/>
      <c r="N18" s="3">
        <v>1</v>
      </c>
      <c r="O18" s="16">
        <f>N18*(1+O$12)</f>
        <v>1.04</v>
      </c>
      <c r="P18" s="16">
        <f>O18*(1+P$12)</f>
        <v>1.1128</v>
      </c>
      <c r="Q18" s="16">
        <f>P18*(1+Q$12)</f>
        <v>1.1684400000000001</v>
      </c>
      <c r="R18" s="16">
        <f t="shared" si="1"/>
        <v>1.2151776000000003</v>
      </c>
    </row>
    <row r="19" spans="2:22">
      <c r="B19" s="17" t="s">
        <v>73</v>
      </c>
      <c r="D19" s="3" t="s">
        <v>63</v>
      </c>
      <c r="H19" s="7"/>
      <c r="I19" s="7"/>
      <c r="J19" s="7"/>
      <c r="K19" s="7"/>
      <c r="L19" s="7"/>
      <c r="M19" s="7"/>
      <c r="N19" s="7"/>
      <c r="O19" s="3">
        <v>1</v>
      </c>
      <c r="P19" s="16">
        <f>O19*(1+P$12)</f>
        <v>1.07</v>
      </c>
      <c r="Q19" s="16">
        <f>P19*(1+Q$12)</f>
        <v>1.1235000000000002</v>
      </c>
      <c r="R19" s="16">
        <f t="shared" si="1"/>
        <v>1.1684400000000001</v>
      </c>
    </row>
    <row r="20" spans="2:22">
      <c r="B20" s="17" t="s">
        <v>74</v>
      </c>
      <c r="D20" s="3" t="s">
        <v>63</v>
      </c>
      <c r="H20" s="7"/>
      <c r="I20" s="7"/>
      <c r="J20" s="7"/>
      <c r="K20" s="7"/>
      <c r="L20" s="7"/>
      <c r="M20" s="7"/>
      <c r="N20" s="7"/>
      <c r="O20" s="7"/>
      <c r="P20" s="3">
        <v>1</v>
      </c>
      <c r="Q20" s="16">
        <f>P20*(1+Q$12)</f>
        <v>1.05</v>
      </c>
      <c r="R20" s="16">
        <f t="shared" si="1"/>
        <v>1.0920000000000001</v>
      </c>
    </row>
    <row r="21" spans="2:22">
      <c r="B21" s="17" t="s">
        <v>75</v>
      </c>
      <c r="D21" s="3" t="s">
        <v>63</v>
      </c>
      <c r="H21" s="7"/>
      <c r="I21" s="7"/>
      <c r="J21" s="7"/>
      <c r="K21" s="7"/>
      <c r="L21" s="7"/>
      <c r="M21" s="7"/>
      <c r="N21" s="7"/>
      <c r="O21" s="7"/>
      <c r="P21" s="7"/>
      <c r="Q21" s="3">
        <v>1</v>
      </c>
      <c r="R21" s="16">
        <f>Q21*(1+R$12)</f>
        <v>1.04</v>
      </c>
    </row>
    <row r="23" spans="2:22" s="6" customFormat="1">
      <c r="B23" s="6" t="s">
        <v>76</v>
      </c>
    </row>
    <row r="25" spans="2:22">
      <c r="B25" s="3" t="s">
        <v>77</v>
      </c>
      <c r="D25" s="3" t="s">
        <v>6</v>
      </c>
      <c r="F25" s="48">
        <v>0.4</v>
      </c>
      <c r="T25" s="3" t="s">
        <v>107</v>
      </c>
    </row>
    <row r="26" spans="2:22">
      <c r="B26" s="3" t="s">
        <v>78</v>
      </c>
      <c r="D26" s="3" t="s">
        <v>6</v>
      </c>
      <c r="F26" s="18">
        <f>1-F25</f>
        <v>0.6</v>
      </c>
      <c r="T26" s="3" t="s">
        <v>107</v>
      </c>
    </row>
    <row r="28" spans="2:22" s="6" customFormat="1">
      <c r="B28" s="6" t="s">
        <v>79</v>
      </c>
    </row>
    <row r="30" spans="2:22">
      <c r="B30" s="3" t="s">
        <v>80</v>
      </c>
      <c r="D30" s="3" t="s">
        <v>6</v>
      </c>
      <c r="F30" s="48">
        <v>0.75</v>
      </c>
      <c r="T30" s="3" t="s">
        <v>107</v>
      </c>
    </row>
    <row r="31" spans="2:22">
      <c r="B31" s="3" t="s">
        <v>81</v>
      </c>
      <c r="D31" s="3" t="s">
        <v>6</v>
      </c>
      <c r="F31" s="48">
        <v>0</v>
      </c>
      <c r="T31" s="3" t="s">
        <v>107</v>
      </c>
      <c r="V31" s="5"/>
    </row>
    <row r="33" spans="2:20" s="6" customFormat="1">
      <c r="B33" s="6" t="s">
        <v>82</v>
      </c>
    </row>
    <row r="35" spans="2:20">
      <c r="B35" s="3" t="s">
        <v>83</v>
      </c>
      <c r="F35" s="43">
        <v>1.25</v>
      </c>
      <c r="T35" s="3" t="s">
        <v>107</v>
      </c>
    </row>
    <row r="36" spans="2:20">
      <c r="B36" s="3" t="s">
        <v>84</v>
      </c>
      <c r="F36" s="43">
        <v>1.5</v>
      </c>
      <c r="T36" s="3" t="s">
        <v>107</v>
      </c>
    </row>
    <row r="37" spans="2:20">
      <c r="B37" s="3" t="s">
        <v>85</v>
      </c>
      <c r="F37" s="43">
        <v>1.75</v>
      </c>
      <c r="T37" s="3" t="s">
        <v>107</v>
      </c>
    </row>
    <row r="38" spans="2:20">
      <c r="B38" s="3" t="s">
        <v>86</v>
      </c>
      <c r="F38" s="43">
        <v>1.75</v>
      </c>
      <c r="T38" s="3" t="s">
        <v>107</v>
      </c>
    </row>
    <row r="40" spans="2:20" s="6" customFormat="1">
      <c r="B40" s="6" t="s">
        <v>87</v>
      </c>
    </row>
    <row r="42" spans="2:20">
      <c r="B42" s="2" t="s">
        <v>88</v>
      </c>
      <c r="F42" s="15"/>
    </row>
    <row r="43" spans="2:20">
      <c r="B43" s="3" t="s">
        <v>89</v>
      </c>
      <c r="F43" s="43">
        <v>1.482</v>
      </c>
      <c r="T43" s="3" t="s">
        <v>107</v>
      </c>
    </row>
    <row r="44" spans="2:20">
      <c r="B44" s="3" t="s">
        <v>90</v>
      </c>
      <c r="F44" s="43">
        <v>0.78400000000000003</v>
      </c>
      <c r="T44" s="3" t="s">
        <v>107</v>
      </c>
    </row>
    <row r="45" spans="2:20">
      <c r="B45" s="3" t="s">
        <v>91</v>
      </c>
      <c r="F45" s="43">
        <v>0.629</v>
      </c>
      <c r="T45" s="3" t="s">
        <v>107</v>
      </c>
    </row>
    <row r="46" spans="2:20">
      <c r="B46" s="3" t="s">
        <v>92</v>
      </c>
      <c r="F46" s="43">
        <v>1.105</v>
      </c>
      <c r="T46" s="3" t="s">
        <v>107</v>
      </c>
    </row>
    <row r="48" spans="2:20">
      <c r="B48" s="2" t="s">
        <v>93</v>
      </c>
    </row>
    <row r="49" spans="2:20">
      <c r="B49" s="3" t="s">
        <v>47</v>
      </c>
      <c r="F49" s="43">
        <v>1.7150000000000001</v>
      </c>
      <c r="T49" s="3" t="s">
        <v>107</v>
      </c>
    </row>
    <row r="50" spans="2:20">
      <c r="B50" s="3" t="s">
        <v>48</v>
      </c>
      <c r="F50" s="43">
        <v>1.5329999999999999</v>
      </c>
      <c r="T50" s="3" t="s">
        <v>107</v>
      </c>
    </row>
    <row r="51" spans="2:20">
      <c r="B51" s="3" t="s">
        <v>49</v>
      </c>
      <c r="F51" s="43">
        <v>1.1990000000000001</v>
      </c>
      <c r="T51" s="3" t="s">
        <v>107</v>
      </c>
    </row>
    <row r="52" spans="2:20">
      <c r="B52" s="3" t="s">
        <v>2</v>
      </c>
      <c r="F52" s="43">
        <v>0.89400000000000002</v>
      </c>
      <c r="T52" s="3" t="s">
        <v>107</v>
      </c>
    </row>
    <row r="53" spans="2:20">
      <c r="B53" s="3" t="s">
        <v>50</v>
      </c>
      <c r="F53" s="43">
        <v>0.79200000000000004</v>
      </c>
      <c r="T53" s="3" t="s">
        <v>107</v>
      </c>
    </row>
    <row r="54" spans="2:20">
      <c r="B54" s="3" t="s">
        <v>51</v>
      </c>
      <c r="F54" s="43">
        <v>0.66500000000000004</v>
      </c>
      <c r="T54" s="3" t="s">
        <v>107</v>
      </c>
    </row>
    <row r="55" spans="2:20">
      <c r="B55" s="3" t="s">
        <v>52</v>
      </c>
      <c r="F55" s="43">
        <v>0.628</v>
      </c>
      <c r="T55" s="3" t="s">
        <v>107</v>
      </c>
    </row>
    <row r="56" spans="2:20">
      <c r="B56" s="3" t="s">
        <v>53</v>
      </c>
      <c r="F56" s="43">
        <v>0.59699999999999998</v>
      </c>
      <c r="T56" s="3" t="s">
        <v>107</v>
      </c>
    </row>
    <row r="57" spans="2:20">
      <c r="B57" s="3" t="s">
        <v>3</v>
      </c>
      <c r="F57" s="43">
        <v>0.66300000000000003</v>
      </c>
      <c r="T57" s="3" t="s">
        <v>107</v>
      </c>
    </row>
    <row r="58" spans="2:20">
      <c r="B58" s="3" t="s">
        <v>54</v>
      </c>
      <c r="F58" s="43">
        <v>0.76100000000000001</v>
      </c>
      <c r="T58" s="3" t="s">
        <v>107</v>
      </c>
    </row>
    <row r="59" spans="2:20">
      <c r="B59" s="3" t="s">
        <v>4</v>
      </c>
      <c r="F59" s="94">
        <v>1.1299999999999999</v>
      </c>
      <c r="T59" s="3" t="s">
        <v>107</v>
      </c>
    </row>
    <row r="60" spans="2:20">
      <c r="B60" s="3" t="s">
        <v>5</v>
      </c>
      <c r="F60" s="43">
        <v>1.4239999999999999</v>
      </c>
      <c r="T60" s="3" t="s">
        <v>107</v>
      </c>
    </row>
    <row r="62" spans="2:20">
      <c r="B62" s="2" t="s">
        <v>94</v>
      </c>
    </row>
    <row r="63" spans="2:20">
      <c r="B63" s="3" t="s">
        <v>47</v>
      </c>
      <c r="F63" s="43">
        <v>1.7729999999999999</v>
      </c>
      <c r="T63" s="3" t="s">
        <v>107</v>
      </c>
    </row>
    <row r="64" spans="2:20">
      <c r="B64" s="3" t="s">
        <v>48</v>
      </c>
      <c r="F64" s="43">
        <v>1.585</v>
      </c>
      <c r="T64" s="3" t="s">
        <v>107</v>
      </c>
    </row>
    <row r="65" spans="2:20">
      <c r="B65" s="3" t="s">
        <v>49</v>
      </c>
      <c r="F65" s="43">
        <v>1.2390000000000001</v>
      </c>
      <c r="T65" s="3" t="s">
        <v>107</v>
      </c>
    </row>
    <row r="66" spans="2:20">
      <c r="B66" s="3" t="s">
        <v>2</v>
      </c>
      <c r="F66" s="43">
        <v>0.92400000000000004</v>
      </c>
      <c r="T66" s="3" t="s">
        <v>107</v>
      </c>
    </row>
    <row r="67" spans="2:20">
      <c r="B67" s="3" t="s">
        <v>50</v>
      </c>
      <c r="F67" s="43">
        <v>0.81899999999999995</v>
      </c>
      <c r="T67" s="3" t="s">
        <v>107</v>
      </c>
    </row>
    <row r="68" spans="2:20">
      <c r="B68" s="3" t="s">
        <v>51</v>
      </c>
      <c r="F68" s="43">
        <v>0.68799999999999994</v>
      </c>
      <c r="T68" s="3" t="s">
        <v>107</v>
      </c>
    </row>
    <row r="69" spans="2:20">
      <c r="B69" s="3" t="s">
        <v>52</v>
      </c>
      <c r="F69" s="43">
        <v>0.64900000000000002</v>
      </c>
      <c r="T69" s="3" t="s">
        <v>107</v>
      </c>
    </row>
    <row r="70" spans="2:20">
      <c r="B70" s="3" t="s">
        <v>53</v>
      </c>
      <c r="F70" s="43">
        <v>0.61799999999999999</v>
      </c>
      <c r="T70" s="3" t="s">
        <v>107</v>
      </c>
    </row>
    <row r="71" spans="2:20">
      <c r="B71" s="3" t="s">
        <v>3</v>
      </c>
      <c r="F71" s="43">
        <v>0.68600000000000005</v>
      </c>
      <c r="T71" s="3" t="s">
        <v>107</v>
      </c>
    </row>
    <row r="72" spans="2:20">
      <c r="B72" s="3" t="s">
        <v>54</v>
      </c>
      <c r="F72" s="43">
        <v>0.78700000000000003</v>
      </c>
      <c r="T72" s="3" t="s">
        <v>107</v>
      </c>
    </row>
    <row r="73" spans="2:20">
      <c r="B73" s="3" t="s">
        <v>4</v>
      </c>
      <c r="F73" s="43">
        <v>1.1679999999999999</v>
      </c>
      <c r="T73" s="3" t="s">
        <v>107</v>
      </c>
    </row>
    <row r="74" spans="2:20">
      <c r="B74" s="3" t="s">
        <v>5</v>
      </c>
      <c r="F74" s="43">
        <v>1.472</v>
      </c>
      <c r="T74" s="3" t="s">
        <v>107</v>
      </c>
    </row>
    <row r="76" spans="2:20" s="6" customFormat="1">
      <c r="B76" s="6" t="s">
        <v>95</v>
      </c>
    </row>
    <row r="78" spans="2:20">
      <c r="B78" s="2" t="s">
        <v>102</v>
      </c>
      <c r="F78" s="15"/>
    </row>
    <row r="79" spans="2:20">
      <c r="B79" s="3" t="s">
        <v>47</v>
      </c>
      <c r="F79" s="43">
        <v>31</v>
      </c>
    </row>
    <row r="80" spans="2:20">
      <c r="B80" s="3" t="s">
        <v>48</v>
      </c>
      <c r="F80" s="43">
        <v>28</v>
      </c>
    </row>
    <row r="81" spans="2:6">
      <c r="B81" s="3" t="s">
        <v>49</v>
      </c>
      <c r="F81" s="43">
        <v>31</v>
      </c>
    </row>
    <row r="82" spans="2:6">
      <c r="B82" s="3" t="s">
        <v>2</v>
      </c>
      <c r="F82" s="43">
        <v>30</v>
      </c>
    </row>
    <row r="83" spans="2:6">
      <c r="B83" s="3" t="s">
        <v>50</v>
      </c>
      <c r="F83" s="43">
        <v>31</v>
      </c>
    </row>
    <row r="84" spans="2:6">
      <c r="B84" s="3" t="s">
        <v>51</v>
      </c>
      <c r="F84" s="43">
        <v>30</v>
      </c>
    </row>
    <row r="85" spans="2:6">
      <c r="B85" s="3" t="s">
        <v>52</v>
      </c>
      <c r="F85" s="43">
        <v>31</v>
      </c>
    </row>
    <row r="86" spans="2:6">
      <c r="B86" s="3" t="s">
        <v>53</v>
      </c>
      <c r="F86" s="43">
        <v>31</v>
      </c>
    </row>
    <row r="87" spans="2:6">
      <c r="B87" s="3" t="s">
        <v>3</v>
      </c>
      <c r="F87" s="43">
        <v>30</v>
      </c>
    </row>
    <row r="88" spans="2:6">
      <c r="B88" s="3" t="s">
        <v>54</v>
      </c>
      <c r="F88" s="43">
        <v>31</v>
      </c>
    </row>
    <row r="89" spans="2:6">
      <c r="B89" s="3" t="s">
        <v>4</v>
      </c>
      <c r="F89" s="43">
        <v>30</v>
      </c>
    </row>
    <row r="90" spans="2:6">
      <c r="B90" s="3" t="s">
        <v>5</v>
      </c>
      <c r="F90" s="43">
        <v>31</v>
      </c>
    </row>
    <row r="92" spans="2:6">
      <c r="B92" s="2" t="s">
        <v>103</v>
      </c>
    </row>
    <row r="93" spans="2:6">
      <c r="B93" s="3" t="s">
        <v>89</v>
      </c>
      <c r="F93" s="19">
        <f>SUM(F79:F81)</f>
        <v>90</v>
      </c>
    </row>
    <row r="94" spans="2:6">
      <c r="B94" s="3" t="s">
        <v>90</v>
      </c>
      <c r="F94" s="19">
        <f>SUM(F82:F84)</f>
        <v>91</v>
      </c>
    </row>
    <row r="95" spans="2:6">
      <c r="B95" s="3" t="s">
        <v>91</v>
      </c>
      <c r="F95" s="19">
        <f>SUM(F85:F87)</f>
        <v>92</v>
      </c>
    </row>
    <row r="96" spans="2:6">
      <c r="B96" s="3" t="s">
        <v>92</v>
      </c>
      <c r="F96" s="19">
        <f>SUM(F88:F90)</f>
        <v>92</v>
      </c>
    </row>
    <row r="98" spans="2:22">
      <c r="B98" s="2" t="s">
        <v>104</v>
      </c>
    </row>
    <row r="99" spans="2:22">
      <c r="B99" s="3" t="s">
        <v>96</v>
      </c>
      <c r="F99" s="43">
        <v>24</v>
      </c>
    </row>
    <row r="100" spans="2:22">
      <c r="B100" s="3" t="s">
        <v>97</v>
      </c>
      <c r="F100" s="19">
        <f>SUM(F79:F90)</f>
        <v>365</v>
      </c>
    </row>
    <row r="101" spans="2:22">
      <c r="B101" s="3" t="s">
        <v>98</v>
      </c>
      <c r="F101" s="19">
        <f>F99*F100</f>
        <v>8760</v>
      </c>
    </row>
    <row r="103" spans="2:22" s="6" customFormat="1">
      <c r="B103" s="6" t="s">
        <v>99</v>
      </c>
    </row>
    <row r="105" spans="2:22">
      <c r="B105" s="2" t="s">
        <v>7</v>
      </c>
    </row>
    <row r="106" spans="2:22">
      <c r="B106" s="3" t="s">
        <v>8</v>
      </c>
      <c r="F106" s="49">
        <v>8.9999999999999998E-4</v>
      </c>
      <c r="H106" s="5"/>
      <c r="T106" s="3" t="s">
        <v>107</v>
      </c>
      <c r="V106" s="5"/>
    </row>
    <row r="107" spans="2:22">
      <c r="B107" s="3" t="s">
        <v>9</v>
      </c>
      <c r="F107" s="49">
        <v>7.0199999999999999E-2</v>
      </c>
      <c r="H107" s="5"/>
      <c r="T107" s="3" t="s">
        <v>107</v>
      </c>
    </row>
    <row r="108" spans="2:22">
      <c r="B108" s="3" t="s">
        <v>10</v>
      </c>
      <c r="F108" s="49">
        <v>0.98319999999999996</v>
      </c>
      <c r="T108" s="3" t="s">
        <v>107</v>
      </c>
    </row>
    <row r="109" spans="2:22">
      <c r="B109" s="3" t="s">
        <v>11</v>
      </c>
      <c r="F109" s="49">
        <v>1E-4</v>
      </c>
      <c r="T109" s="3" t="s">
        <v>107</v>
      </c>
    </row>
    <row r="110" spans="2:22">
      <c r="B110" s="3" t="s">
        <v>12</v>
      </c>
      <c r="F110" s="49">
        <v>1E-4</v>
      </c>
      <c r="T110" s="3" t="s">
        <v>107</v>
      </c>
    </row>
    <row r="111" spans="2:22">
      <c r="B111" s="3" t="s">
        <v>13</v>
      </c>
      <c r="F111" s="49">
        <v>1E-4</v>
      </c>
      <c r="T111" s="3" t="s">
        <v>107</v>
      </c>
    </row>
    <row r="112" spans="2:22">
      <c r="B112" s="3" t="s">
        <v>14</v>
      </c>
      <c r="F112" s="49">
        <v>1E-4</v>
      </c>
      <c r="T112" s="3" t="s">
        <v>107</v>
      </c>
    </row>
    <row r="113" spans="2:20">
      <c r="B113" s="3" t="s">
        <v>15</v>
      </c>
      <c r="F113" s="49">
        <v>1E-4</v>
      </c>
      <c r="T113" s="3" t="s">
        <v>107</v>
      </c>
    </row>
    <row r="114" spans="2:20">
      <c r="B114" s="3" t="s">
        <v>16</v>
      </c>
      <c r="F114" s="49">
        <v>0.51200000000000001</v>
      </c>
      <c r="T114" s="3" t="s">
        <v>107</v>
      </c>
    </row>
    <row r="115" spans="2:20">
      <c r="B115" s="3" t="s">
        <v>17</v>
      </c>
      <c r="F115" s="49">
        <v>0.2359</v>
      </c>
      <c r="T115" s="3" t="s">
        <v>107</v>
      </c>
    </row>
    <row r="116" spans="2:20">
      <c r="B116" s="3" t="s">
        <v>18</v>
      </c>
      <c r="F116" s="49">
        <v>0.625</v>
      </c>
      <c r="T116" s="3" t="s">
        <v>107</v>
      </c>
    </row>
    <row r="117" spans="2:20">
      <c r="B117" s="3" t="s">
        <v>19</v>
      </c>
      <c r="F117" s="49">
        <v>1E-4</v>
      </c>
      <c r="T117" s="3" t="s">
        <v>107</v>
      </c>
    </row>
    <row r="118" spans="2:20">
      <c r="B118" s="3" t="s">
        <v>20</v>
      </c>
      <c r="F118" s="49">
        <v>0.31780000000000003</v>
      </c>
      <c r="T118" s="3" t="s">
        <v>107</v>
      </c>
    </row>
    <row r="119" spans="2:20">
      <c r="B119" s="3" t="s">
        <v>21</v>
      </c>
      <c r="F119" s="49">
        <v>0.97389999999999999</v>
      </c>
      <c r="T119" s="3" t="s">
        <v>107</v>
      </c>
    </row>
    <row r="120" spans="2:20">
      <c r="B120" s="3" t="s">
        <v>28</v>
      </c>
      <c r="F120" s="49">
        <v>1E-4</v>
      </c>
      <c r="T120" s="3" t="s">
        <v>107</v>
      </c>
    </row>
    <row r="122" spans="2:20">
      <c r="B122" s="2" t="s">
        <v>22</v>
      </c>
    </row>
    <row r="123" spans="2:20">
      <c r="B123" s="3" t="s">
        <v>8</v>
      </c>
      <c r="F123" s="49">
        <v>1E-4</v>
      </c>
      <c r="T123" s="3" t="s">
        <v>107</v>
      </c>
    </row>
    <row r="124" spans="2:20">
      <c r="B124" s="3" t="s">
        <v>9</v>
      </c>
      <c r="F124" s="49">
        <v>1E-4</v>
      </c>
      <c r="T124" s="3" t="s">
        <v>107</v>
      </c>
    </row>
    <row r="125" spans="2:20">
      <c r="B125" s="3" t="s">
        <v>10</v>
      </c>
      <c r="F125" s="49">
        <v>1E-4</v>
      </c>
      <c r="T125" s="3" t="s">
        <v>107</v>
      </c>
    </row>
    <row r="126" spans="2:20">
      <c r="B126" s="3" t="s">
        <v>11</v>
      </c>
      <c r="F126" s="49">
        <v>0.71899999999999997</v>
      </c>
      <c r="T126" s="3" t="s">
        <v>107</v>
      </c>
    </row>
    <row r="127" spans="2:20">
      <c r="B127" s="3" t="s">
        <v>12</v>
      </c>
      <c r="F127" s="49">
        <v>0.49359999999999998</v>
      </c>
      <c r="T127" s="3" t="s">
        <v>107</v>
      </c>
    </row>
    <row r="128" spans="2:20">
      <c r="B128" s="3" t="s">
        <v>13</v>
      </c>
      <c r="F128" s="49">
        <v>0.33329999999999999</v>
      </c>
      <c r="T128" s="3" t="s">
        <v>107</v>
      </c>
    </row>
    <row r="129" spans="2:20">
      <c r="B129" s="3" t="s">
        <v>14</v>
      </c>
      <c r="F129" s="49">
        <v>0.95730000000000004</v>
      </c>
      <c r="T129" s="3" t="s">
        <v>107</v>
      </c>
    </row>
    <row r="130" spans="2:20">
      <c r="B130" s="3" t="s">
        <v>15</v>
      </c>
      <c r="F130" s="49">
        <v>0.1525</v>
      </c>
      <c r="T130" s="3" t="s">
        <v>107</v>
      </c>
    </row>
    <row r="131" spans="2:20">
      <c r="B131" s="3" t="s">
        <v>16</v>
      </c>
      <c r="F131" s="49">
        <v>0.50480000000000003</v>
      </c>
      <c r="T131" s="3" t="s">
        <v>107</v>
      </c>
    </row>
    <row r="132" spans="2:20">
      <c r="B132" s="3" t="s">
        <v>17</v>
      </c>
      <c r="F132" s="49">
        <v>1E-4</v>
      </c>
      <c r="T132" s="3" t="s">
        <v>107</v>
      </c>
    </row>
    <row r="133" spans="2:20">
      <c r="B133" s="3" t="s">
        <v>18</v>
      </c>
      <c r="F133" s="49">
        <v>0.374</v>
      </c>
      <c r="T133" s="3" t="s">
        <v>107</v>
      </c>
    </row>
    <row r="134" spans="2:20">
      <c r="B134" s="3" t="s">
        <v>19</v>
      </c>
      <c r="F134" s="49">
        <v>5.7700000000000001E-2</v>
      </c>
      <c r="T134" s="3" t="s">
        <v>107</v>
      </c>
    </row>
    <row r="135" spans="2:20">
      <c r="B135" s="3" t="s">
        <v>20</v>
      </c>
      <c r="F135" s="49">
        <v>1E-4</v>
      </c>
      <c r="T135" s="3" t="s">
        <v>107</v>
      </c>
    </row>
    <row r="136" spans="2:20">
      <c r="B136" s="3" t="s">
        <v>21</v>
      </c>
      <c r="F136" s="49">
        <v>0.64359999999999995</v>
      </c>
      <c r="T136" s="3" t="s">
        <v>107</v>
      </c>
    </row>
    <row r="137" spans="2:20">
      <c r="B137" s="3" t="s">
        <v>28</v>
      </c>
      <c r="F137" s="49">
        <v>1E-4</v>
      </c>
      <c r="T137" s="3" t="s">
        <v>107</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33"/>
  <sheetViews>
    <sheetView showGridLines="0" zoomScale="90" zoomScaleNormal="90"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58.28515625" style="3" customWidth="1"/>
    <col min="3" max="3" width="2.5703125" style="3" customWidth="1"/>
    <col min="4" max="4" width="13.5703125" style="3" customWidth="1"/>
    <col min="5" max="5" width="2.5703125" style="3" customWidth="1"/>
    <col min="6" max="6" width="9.5703125" style="3" customWidth="1"/>
    <col min="7" max="7" width="2.5703125" style="3" customWidth="1"/>
    <col min="8" max="10" width="14.85546875" style="3" bestFit="1" customWidth="1"/>
    <col min="11" max="11" width="16.42578125" style="3" bestFit="1" customWidth="1"/>
    <col min="12" max="12" width="14.85546875" style="3" bestFit="1" customWidth="1"/>
    <col min="13" max="13" width="14.85546875" style="3" customWidth="1"/>
    <col min="14" max="14" width="2.5703125" style="3" customWidth="1"/>
    <col min="15" max="15" width="30.140625" style="3" customWidth="1"/>
    <col min="16" max="16" width="2.5703125" style="3" customWidth="1"/>
    <col min="17" max="27" width="13.5703125" style="3" customWidth="1"/>
    <col min="28" max="16384" width="9.140625" style="3"/>
  </cols>
  <sheetData>
    <row r="2" spans="2:16" s="8" customFormat="1" ht="18">
      <c r="B2" s="8" t="s">
        <v>112</v>
      </c>
    </row>
    <row r="4" spans="2:16">
      <c r="B4" s="109" t="s">
        <v>65</v>
      </c>
      <c r="C4" s="2"/>
    </row>
    <row r="5" spans="2:16" ht="27.75" customHeight="1">
      <c r="B5" s="124" t="s">
        <v>113</v>
      </c>
      <c r="C5" s="124"/>
      <c r="D5" s="124"/>
      <c r="F5" s="9"/>
    </row>
    <row r="6" spans="2:16" ht="12" customHeight="1"/>
    <row r="7" spans="2:16" s="6" customFormat="1" ht="12" customHeight="1">
      <c r="B7" s="6" t="s">
        <v>33</v>
      </c>
      <c r="D7" s="6" t="s">
        <v>62</v>
      </c>
      <c r="F7" s="6" t="s">
        <v>171</v>
      </c>
      <c r="H7" s="28">
        <v>2022</v>
      </c>
      <c r="I7" s="28">
        <v>2023</v>
      </c>
      <c r="J7" s="28">
        <v>2024</v>
      </c>
      <c r="K7" s="28">
        <v>2025</v>
      </c>
      <c r="L7" s="28">
        <v>2026</v>
      </c>
      <c r="N7" s="6" t="s">
        <v>105</v>
      </c>
      <c r="P7" s="6" t="s">
        <v>108</v>
      </c>
    </row>
    <row r="9" spans="2:16" s="6" customFormat="1">
      <c r="B9" s="6" t="s">
        <v>114</v>
      </c>
    </row>
    <row r="11" spans="2:16">
      <c r="B11" s="17" t="s">
        <v>119</v>
      </c>
      <c r="D11" s="3" t="s">
        <v>111</v>
      </c>
      <c r="H11" s="7"/>
      <c r="I11" s="7"/>
      <c r="J11" s="7"/>
      <c r="K11" s="95">
        <v>-2099568.022136</v>
      </c>
      <c r="L11" s="7"/>
      <c r="M11" s="7"/>
      <c r="O11" s="3" t="s">
        <v>110</v>
      </c>
    </row>
    <row r="12" spans="2:16">
      <c r="B12" s="3" t="s">
        <v>120</v>
      </c>
      <c r="D12" s="3" t="s">
        <v>111</v>
      </c>
      <c r="H12" s="7"/>
      <c r="I12" s="7"/>
      <c r="J12" s="7"/>
      <c r="K12" s="105">
        <v>-1963147.57</v>
      </c>
      <c r="L12" s="7"/>
      <c r="M12" s="7"/>
      <c r="O12" s="3" t="s">
        <v>109</v>
      </c>
    </row>
    <row r="14" spans="2:16" s="6" customFormat="1">
      <c r="B14" s="6" t="s">
        <v>115</v>
      </c>
    </row>
    <row r="16" spans="2:16">
      <c r="B16" s="3" t="s">
        <v>121</v>
      </c>
      <c r="D16" s="3" t="s">
        <v>111</v>
      </c>
      <c r="H16" s="7"/>
      <c r="I16" s="7"/>
      <c r="J16" s="7"/>
      <c r="K16" s="105">
        <v>0</v>
      </c>
      <c r="L16" s="7"/>
      <c r="M16" s="7"/>
      <c r="O16" s="3" t="s">
        <v>109</v>
      </c>
    </row>
    <row r="18" spans="2:15" s="6" customFormat="1">
      <c r="B18" s="6" t="s">
        <v>116</v>
      </c>
    </row>
    <row r="20" spans="2:15">
      <c r="B20" s="3" t="s">
        <v>121</v>
      </c>
      <c r="D20" s="3" t="s">
        <v>111</v>
      </c>
      <c r="H20" s="7"/>
      <c r="I20" s="7"/>
      <c r="J20" s="7"/>
      <c r="K20" s="105">
        <v>0</v>
      </c>
      <c r="L20" s="7"/>
      <c r="M20" s="7"/>
      <c r="O20" s="3" t="s">
        <v>109</v>
      </c>
    </row>
    <row r="21" spans="2:15">
      <c r="H21" s="42"/>
      <c r="I21" s="42"/>
      <c r="J21" s="42"/>
      <c r="K21" s="42"/>
      <c r="L21" s="42"/>
      <c r="M21" s="42"/>
    </row>
    <row r="22" spans="2:15" s="6" customFormat="1">
      <c r="B22" s="6" t="s">
        <v>117</v>
      </c>
    </row>
    <row r="23" spans="2:15">
      <c r="H23" s="42"/>
      <c r="I23" s="42"/>
      <c r="J23" s="42"/>
      <c r="K23" s="42"/>
      <c r="L23" s="42"/>
      <c r="M23" s="42"/>
    </row>
    <row r="24" spans="2:15">
      <c r="B24" s="3" t="s">
        <v>122</v>
      </c>
      <c r="D24" s="3" t="s">
        <v>111</v>
      </c>
      <c r="H24" s="7"/>
      <c r="I24" s="7"/>
      <c r="J24" s="7"/>
      <c r="K24" s="105">
        <v>1643545.87</v>
      </c>
      <c r="L24" s="7"/>
      <c r="M24" s="7"/>
      <c r="O24" s="3" t="s">
        <v>109</v>
      </c>
    </row>
    <row r="25" spans="2:15">
      <c r="B25" s="3" t="s">
        <v>123</v>
      </c>
      <c r="D25" s="3" t="s">
        <v>111</v>
      </c>
      <c r="H25" s="7"/>
      <c r="I25" s="7"/>
      <c r="J25" s="7"/>
      <c r="K25" s="105">
        <v>33099.65</v>
      </c>
      <c r="L25" s="7"/>
      <c r="M25" s="7"/>
      <c r="O25" s="3" t="s">
        <v>109</v>
      </c>
    </row>
    <row r="27" spans="2:15" s="6" customFormat="1">
      <c r="B27" s="6" t="s">
        <v>118</v>
      </c>
    </row>
    <row r="29" spans="2:15">
      <c r="B29" s="3" t="s">
        <v>121</v>
      </c>
      <c r="D29" s="3" t="s">
        <v>111</v>
      </c>
      <c r="H29" s="7"/>
      <c r="I29" s="7"/>
      <c r="J29" s="7"/>
      <c r="K29" s="105">
        <v>0</v>
      </c>
      <c r="L29" s="7"/>
      <c r="M29" s="7"/>
      <c r="O29" s="3" t="s">
        <v>109</v>
      </c>
    </row>
    <row r="31" spans="2:15">
      <c r="H31" s="51"/>
      <c r="I31" s="51"/>
      <c r="J31" s="51"/>
      <c r="K31" s="51"/>
    </row>
    <row r="32" spans="2:15">
      <c r="B32" s="17"/>
      <c r="N32" s="51"/>
    </row>
    <row r="33" spans="2:14">
      <c r="B33" s="17"/>
      <c r="N33" s="51"/>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90" zoomScaleNormal="90"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5" width="12.5703125" style="3" customWidth="1"/>
    <col min="16" max="16" width="2.5703125" style="3" customWidth="1"/>
    <col min="17" max="17" width="20.5703125" style="3" customWidth="1"/>
    <col min="18" max="18" width="2.5703125" style="3" customWidth="1"/>
    <col min="19" max="19" width="20.5703125" style="3" customWidth="1"/>
    <col min="20" max="32" width="13.5703125" style="3" customWidth="1"/>
    <col min="33" max="16384" width="9.140625" style="3"/>
  </cols>
  <sheetData>
    <row r="2" spans="2:19" s="8" customFormat="1" ht="18">
      <c r="B2" s="8" t="s">
        <v>124</v>
      </c>
    </row>
    <row r="4" spans="2:19">
      <c r="B4" s="109" t="s">
        <v>65</v>
      </c>
      <c r="C4" s="2"/>
    </row>
    <row r="5" spans="2:19" ht="27.75" customHeight="1">
      <c r="B5" s="114" t="s">
        <v>125</v>
      </c>
      <c r="C5" s="124"/>
      <c r="D5" s="124"/>
      <c r="F5" s="9"/>
    </row>
    <row r="7" spans="2:19" s="6" customFormat="1">
      <c r="B7" s="6" t="s">
        <v>33</v>
      </c>
      <c r="D7" s="6" t="s">
        <v>62</v>
      </c>
      <c r="F7" s="6" t="s">
        <v>171</v>
      </c>
      <c r="H7" s="31">
        <v>2020</v>
      </c>
      <c r="I7" s="28">
        <v>2021</v>
      </c>
      <c r="J7" s="28">
        <v>2022</v>
      </c>
      <c r="K7" s="28">
        <v>2023</v>
      </c>
      <c r="L7" s="28">
        <v>2024</v>
      </c>
      <c r="M7" s="28">
        <v>2025</v>
      </c>
      <c r="N7" s="28">
        <v>2026</v>
      </c>
      <c r="O7" s="28">
        <v>2027</v>
      </c>
      <c r="Q7" s="6" t="s">
        <v>105</v>
      </c>
      <c r="S7" s="6" t="s">
        <v>108</v>
      </c>
    </row>
    <row r="9" spans="2:19" s="6" customFormat="1">
      <c r="B9" s="6" t="s">
        <v>126</v>
      </c>
    </row>
    <row r="11" spans="2:19">
      <c r="B11" s="11" t="s">
        <v>126</v>
      </c>
    </row>
    <row r="12" spans="2:19">
      <c r="B12" s="3" t="s">
        <v>127</v>
      </c>
      <c r="D12" s="3" t="s">
        <v>128</v>
      </c>
      <c r="H12" s="7"/>
      <c r="I12" s="7"/>
      <c r="J12" s="7"/>
      <c r="K12" s="7"/>
      <c r="L12" s="7"/>
      <c r="M12" s="7"/>
      <c r="N12" s="7"/>
      <c r="O12" s="85">
        <v>109121387</v>
      </c>
      <c r="Q12" s="3" t="s">
        <v>26</v>
      </c>
    </row>
    <row r="13" spans="2:19">
      <c r="B13" s="3" t="s">
        <v>129</v>
      </c>
      <c r="D13" s="3" t="s">
        <v>128</v>
      </c>
      <c r="H13" s="7"/>
      <c r="I13" s="7"/>
      <c r="J13" s="7"/>
      <c r="K13" s="7"/>
      <c r="L13" s="7"/>
      <c r="M13" s="7"/>
      <c r="N13" s="7"/>
      <c r="O13" s="85">
        <v>175878613</v>
      </c>
      <c r="Q13" s="3" t="s">
        <v>26</v>
      </c>
    </row>
    <row r="14" spans="2:19">
      <c r="J14" s="9"/>
      <c r="K14" s="9"/>
      <c r="L14" s="9"/>
      <c r="M14" s="9"/>
      <c r="N14" s="53"/>
      <c r="O14" s="53"/>
    </row>
    <row r="15" spans="2:19">
      <c r="B15" s="3" t="s">
        <v>130</v>
      </c>
      <c r="D15" s="3" t="s">
        <v>128</v>
      </c>
      <c r="H15" s="7"/>
      <c r="I15" s="7"/>
      <c r="J15" s="7"/>
      <c r="K15" s="7"/>
      <c r="L15" s="7"/>
      <c r="M15" s="7"/>
      <c r="N15" s="7"/>
      <c r="O15" s="85">
        <v>34958672</v>
      </c>
      <c r="Q15" s="3" t="s">
        <v>26</v>
      </c>
    </row>
    <row r="16" spans="2:19">
      <c r="B16" s="3" t="s">
        <v>131</v>
      </c>
      <c r="D16" s="3" t="s">
        <v>128</v>
      </c>
      <c r="H16" s="7"/>
      <c r="I16" s="7"/>
      <c r="J16" s="7"/>
      <c r="K16" s="7"/>
      <c r="L16" s="7"/>
      <c r="M16" s="7"/>
      <c r="N16" s="7"/>
      <c r="O16" s="85">
        <v>15987135</v>
      </c>
      <c r="Q16" s="3" t="s">
        <v>26</v>
      </c>
    </row>
    <row r="17" spans="2:17">
      <c r="J17" s="9"/>
      <c r="N17" s="53"/>
      <c r="O17" s="53"/>
    </row>
    <row r="18" spans="2:17">
      <c r="B18" s="3" t="s">
        <v>132</v>
      </c>
      <c r="D18" s="3" t="s">
        <v>128</v>
      </c>
      <c r="H18" s="7"/>
      <c r="I18" s="7"/>
      <c r="J18" s="7"/>
      <c r="K18" s="7"/>
      <c r="L18" s="7"/>
      <c r="M18" s="7"/>
      <c r="N18" s="7"/>
      <c r="O18" s="85">
        <v>33329341</v>
      </c>
      <c r="Q18" s="3" t="s">
        <v>26</v>
      </c>
    </row>
    <row r="24" spans="2:17">
      <c r="M24" s="53"/>
    </row>
    <row r="25" spans="2:17">
      <c r="M25" s="53"/>
    </row>
    <row r="26" spans="2:17">
      <c r="M26" s="53"/>
    </row>
    <row r="27" spans="2:17">
      <c r="M27" s="53"/>
    </row>
    <row r="28" spans="2:17">
      <c r="M28" s="53"/>
    </row>
    <row r="29" spans="2:17">
      <c r="M29" s="53"/>
    </row>
    <row r="30" spans="2:17">
      <c r="M30" s="53"/>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T42"/>
  <sheetViews>
    <sheetView showGridLines="0" zoomScale="90" zoomScaleNormal="90" workbookViewId="0">
      <pane xSplit="3" ySplit="8" topLeftCell="D9" activePane="bottomRight" state="frozen"/>
      <selection pane="topRight" activeCell="D1" sqref="D1"/>
      <selection pane="bottomLeft" activeCell="A12" sqref="A12"/>
      <selection pane="bottomRight"/>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5" width="10.42578125" style="3" customWidth="1"/>
    <col min="16" max="17" width="14.85546875" style="3" bestFit="1" customWidth="1"/>
    <col min="18" max="18" width="14.85546875" style="3" customWidth="1"/>
    <col min="19" max="19" width="2.5703125" style="3" customWidth="1"/>
    <col min="20" max="29" width="13.5703125" style="3" customWidth="1"/>
    <col min="30" max="30" width="15.42578125" style="3" customWidth="1"/>
    <col min="31" max="31" width="13.5703125" style="3" customWidth="1"/>
    <col min="32" max="16384" width="9.140625" style="3"/>
  </cols>
  <sheetData>
    <row r="2" spans="2:20" s="8" customFormat="1" ht="18">
      <c r="B2" s="8" t="s">
        <v>134</v>
      </c>
    </row>
    <row r="4" spans="2:20">
      <c r="B4" s="109" t="s">
        <v>65</v>
      </c>
      <c r="C4" s="2"/>
    </row>
    <row r="5" spans="2:20" ht="12.75" customHeight="1">
      <c r="B5" s="114" t="s">
        <v>135</v>
      </c>
      <c r="C5" s="124"/>
      <c r="D5" s="124"/>
      <c r="F5" s="9"/>
    </row>
    <row r="6" spans="2:20" ht="14.25" customHeight="1">
      <c r="F6" s="54"/>
    </row>
    <row r="7" spans="2:20" s="6" customFormat="1">
      <c r="B7" s="6" t="s">
        <v>33</v>
      </c>
      <c r="D7" s="6" t="s">
        <v>62</v>
      </c>
      <c r="F7" s="6" t="s">
        <v>171</v>
      </c>
      <c r="H7" s="93" t="s">
        <v>23</v>
      </c>
      <c r="I7" s="93" t="s">
        <v>24</v>
      </c>
      <c r="J7" s="93" t="s">
        <v>25</v>
      </c>
      <c r="K7" s="28">
        <v>2020</v>
      </c>
      <c r="L7" s="28">
        <v>2021</v>
      </c>
      <c r="M7" s="28">
        <v>2022</v>
      </c>
      <c r="N7" s="28">
        <v>2023</v>
      </c>
      <c r="O7" s="28">
        <v>2024</v>
      </c>
      <c r="P7" s="28">
        <v>2025</v>
      </c>
      <c r="Q7" s="28">
        <v>2026</v>
      </c>
      <c r="R7" s="28">
        <v>2027</v>
      </c>
      <c r="T7" s="6" t="s">
        <v>108</v>
      </c>
    </row>
    <row r="9" spans="2:20" s="6" customFormat="1">
      <c r="B9" s="6" t="s">
        <v>136</v>
      </c>
    </row>
    <row r="11" spans="2:20">
      <c r="B11" s="11" t="s">
        <v>66</v>
      </c>
    </row>
    <row r="12" spans="2:20">
      <c r="B12" s="17" t="s">
        <v>143</v>
      </c>
      <c r="D12" s="3" t="s">
        <v>137</v>
      </c>
      <c r="H12" s="7"/>
      <c r="I12" s="7"/>
      <c r="J12" s="7"/>
      <c r="K12" s="7"/>
      <c r="L12" s="7"/>
      <c r="M12" s="7"/>
      <c r="N12" s="7"/>
      <c r="O12" s="7"/>
      <c r="P12" s="20">
        <f>'2. Parameters'!P20</f>
        <v>1</v>
      </c>
      <c r="Q12" s="20">
        <f>'2. Parameters'!Q20</f>
        <v>1.05</v>
      </c>
      <c r="R12" s="20">
        <f>'2. Parameters'!R20</f>
        <v>1.0920000000000001</v>
      </c>
    </row>
    <row r="14" spans="2:20" s="6" customFormat="1">
      <c r="B14" s="6" t="s">
        <v>114</v>
      </c>
    </row>
    <row r="16" spans="2:20">
      <c r="B16" s="17" t="s">
        <v>119</v>
      </c>
      <c r="D16" s="3" t="s">
        <v>111</v>
      </c>
      <c r="K16" s="7"/>
      <c r="L16" s="7"/>
      <c r="M16" s="44"/>
      <c r="N16" s="44"/>
      <c r="O16" s="44"/>
      <c r="P16" s="25">
        <f>'3. Input corrections'!K11</f>
        <v>-2099568.022136</v>
      </c>
      <c r="Q16" s="7"/>
      <c r="R16" s="7"/>
    </row>
    <row r="17" spans="2:18">
      <c r="B17" s="3" t="s">
        <v>120</v>
      </c>
      <c r="D17" s="3" t="s">
        <v>111</v>
      </c>
      <c r="K17" s="7"/>
      <c r="L17" s="7"/>
      <c r="M17" s="88"/>
      <c r="N17" s="88"/>
      <c r="O17" s="88"/>
      <c r="P17" s="25">
        <f>'3. Input corrections'!K12</f>
        <v>-1963147.57</v>
      </c>
      <c r="Q17" s="7"/>
      <c r="R17" s="7"/>
    </row>
    <row r="18" spans="2:18">
      <c r="B18" s="3" t="s">
        <v>138</v>
      </c>
      <c r="D18" s="3" t="s">
        <v>111</v>
      </c>
      <c r="K18" s="7"/>
      <c r="L18" s="7"/>
      <c r="M18" s="44"/>
      <c r="N18" s="44"/>
      <c r="O18" s="44"/>
      <c r="P18" s="26">
        <f>P16-P17</f>
        <v>-136420.45213599992</v>
      </c>
      <c r="Q18" s="7"/>
      <c r="R18" s="7"/>
    </row>
    <row r="19" spans="2:18">
      <c r="B19" s="3" t="s">
        <v>139</v>
      </c>
      <c r="D19" s="3" t="s">
        <v>111</v>
      </c>
      <c r="K19" s="7"/>
      <c r="L19" s="7"/>
      <c r="M19" s="44"/>
      <c r="N19" s="44"/>
      <c r="O19" s="44"/>
      <c r="P19" s="25">
        <f>P18</f>
        <v>-136420.45213599992</v>
      </c>
      <c r="Q19" s="7"/>
      <c r="R19" s="7"/>
    </row>
    <row r="20" spans="2:18">
      <c r="B20" s="3" t="s">
        <v>140</v>
      </c>
      <c r="D20" s="3" t="s">
        <v>111</v>
      </c>
      <c r="K20" s="7"/>
      <c r="L20" s="7"/>
      <c r="M20" s="7"/>
      <c r="N20" s="7"/>
      <c r="O20" s="44"/>
      <c r="P20" s="44"/>
      <c r="Q20" s="44"/>
      <c r="R20" s="30">
        <f>P19*$R$12</f>
        <v>-148971.13373251192</v>
      </c>
    </row>
    <row r="22" spans="2:18" s="6" customFormat="1">
      <c r="B22" s="6" t="s">
        <v>115</v>
      </c>
    </row>
    <row r="24" spans="2:18">
      <c r="B24" s="3" t="s">
        <v>121</v>
      </c>
      <c r="D24" s="3" t="s">
        <v>111</v>
      </c>
      <c r="K24" s="7"/>
      <c r="L24" s="7"/>
      <c r="M24" s="46"/>
      <c r="N24" s="46"/>
      <c r="O24" s="46"/>
      <c r="P24" s="106">
        <f>'3. Input corrections'!K16</f>
        <v>0</v>
      </c>
      <c r="Q24" s="7"/>
      <c r="R24" s="7"/>
    </row>
    <row r="25" spans="2:18">
      <c r="B25" s="3" t="s">
        <v>141</v>
      </c>
      <c r="D25" s="3" t="s">
        <v>111</v>
      </c>
      <c r="K25" s="7"/>
      <c r="L25" s="7"/>
      <c r="M25" s="7"/>
      <c r="N25" s="7"/>
      <c r="O25" s="44"/>
      <c r="P25" s="44"/>
      <c r="Q25" s="44"/>
      <c r="R25" s="107">
        <f>P24*$R$12</f>
        <v>0</v>
      </c>
    </row>
    <row r="27" spans="2:18" s="6" customFormat="1">
      <c r="B27" s="6" t="s">
        <v>116</v>
      </c>
    </row>
    <row r="29" spans="2:18">
      <c r="B29" s="3" t="s">
        <v>121</v>
      </c>
      <c r="D29" s="3" t="s">
        <v>111</v>
      </c>
      <c r="K29" s="7"/>
      <c r="L29" s="7"/>
      <c r="M29" s="46"/>
      <c r="N29" s="46"/>
      <c r="O29" s="46"/>
      <c r="P29" s="106">
        <f>'3. Input corrections'!K20</f>
        <v>0</v>
      </c>
      <c r="Q29" s="7"/>
      <c r="R29" s="7"/>
    </row>
    <row r="30" spans="2:18">
      <c r="B30" s="3" t="s">
        <v>141</v>
      </c>
      <c r="D30" s="3" t="s">
        <v>111</v>
      </c>
      <c r="K30" s="7"/>
      <c r="L30" s="7"/>
      <c r="M30" s="7"/>
      <c r="N30" s="7"/>
      <c r="O30" s="44"/>
      <c r="P30" s="44"/>
      <c r="Q30" s="44"/>
      <c r="R30" s="107">
        <f>P29*$R$12</f>
        <v>0</v>
      </c>
    </row>
    <row r="32" spans="2:18" s="6" customFormat="1">
      <c r="B32" s="6" t="s">
        <v>117</v>
      </c>
    </row>
    <row r="34" spans="2:18">
      <c r="B34" s="3" t="s">
        <v>144</v>
      </c>
      <c r="D34" s="3" t="s">
        <v>111</v>
      </c>
      <c r="K34" s="7"/>
      <c r="L34" s="7"/>
      <c r="M34" s="46"/>
      <c r="N34" s="46"/>
      <c r="O34" s="46"/>
      <c r="P34" s="25">
        <f>'3. Input corrections'!K24</f>
        <v>1643545.87</v>
      </c>
      <c r="Q34" s="7"/>
      <c r="R34" s="7"/>
    </row>
    <row r="35" spans="2:18">
      <c r="B35" s="3" t="s">
        <v>123</v>
      </c>
      <c r="D35" s="3" t="s">
        <v>111</v>
      </c>
      <c r="K35" s="7"/>
      <c r="L35" s="7"/>
      <c r="M35" s="46"/>
      <c r="N35" s="46"/>
      <c r="O35" s="46"/>
      <c r="P35" s="25">
        <f>'3. Input corrections'!K25</f>
        <v>33099.65</v>
      </c>
      <c r="Q35" s="7"/>
      <c r="R35" s="7"/>
    </row>
    <row r="36" spans="2:18">
      <c r="B36" s="3" t="s">
        <v>142</v>
      </c>
      <c r="D36" s="3" t="s">
        <v>111</v>
      </c>
      <c r="K36" s="7"/>
      <c r="L36" s="7"/>
      <c r="M36" s="46"/>
      <c r="N36" s="46"/>
      <c r="O36" s="46"/>
      <c r="P36" s="29">
        <f>SUM(P34:P35)</f>
        <v>1676645.52</v>
      </c>
      <c r="Q36" s="7"/>
      <c r="R36" s="7"/>
    </row>
    <row r="37" spans="2:18">
      <c r="B37" s="3" t="s">
        <v>141</v>
      </c>
      <c r="D37" s="3" t="s">
        <v>111</v>
      </c>
      <c r="K37" s="7"/>
      <c r="L37" s="7"/>
      <c r="M37" s="7"/>
      <c r="N37" s="7"/>
      <c r="O37" s="44"/>
      <c r="P37" s="46"/>
      <c r="Q37" s="44"/>
      <c r="R37" s="30">
        <f>-P36*$R$12</f>
        <v>-1830896.9078400002</v>
      </c>
    </row>
    <row r="39" spans="2:18" s="6" customFormat="1">
      <c r="B39" s="6" t="s">
        <v>118</v>
      </c>
    </row>
    <row r="41" spans="2:18">
      <c r="B41" s="3" t="s">
        <v>121</v>
      </c>
      <c r="D41" s="3" t="s">
        <v>111</v>
      </c>
      <c r="K41" s="7"/>
      <c r="L41" s="7"/>
      <c r="M41" s="46"/>
      <c r="N41" s="46"/>
      <c r="O41" s="46"/>
      <c r="P41" s="106">
        <f>'3. Input corrections'!K29</f>
        <v>0</v>
      </c>
      <c r="Q41" s="7"/>
      <c r="R41" s="7"/>
    </row>
    <row r="42" spans="2:18">
      <c r="B42" s="3" t="s">
        <v>141</v>
      </c>
      <c r="D42" s="3" t="s">
        <v>111</v>
      </c>
      <c r="K42" s="7"/>
      <c r="L42" s="7"/>
      <c r="M42" s="7"/>
      <c r="N42" s="7"/>
      <c r="O42" s="44"/>
      <c r="P42" s="44"/>
      <c r="Q42" s="44"/>
      <c r="R42" s="107">
        <f>P41*$R$12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ignoredErrors>
    <ignoredError sqref="H7:J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22"/>
  <sheetViews>
    <sheetView showGridLines="0" zoomScale="90" zoomScaleNormal="9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89" style="3" bestFit="1" customWidth="1"/>
    <col min="3" max="3" width="2.5703125" style="3" customWidth="1"/>
    <col min="4" max="4" width="15.42578125" style="3" customWidth="1"/>
    <col min="5" max="5" width="2.5703125" style="3" customWidth="1"/>
    <col min="6" max="6" width="13.5703125" style="3" customWidth="1"/>
    <col min="7" max="7" width="2.5703125" style="3" customWidth="1"/>
    <col min="8" max="13" width="12.7109375" style="3" customWidth="1"/>
    <col min="14" max="14" width="16.7109375" style="3" customWidth="1"/>
    <col min="15" max="15" width="80" style="3" customWidth="1"/>
    <col min="16" max="16" width="15.42578125" style="3" customWidth="1"/>
    <col min="17" max="20" width="13.5703125" style="3" customWidth="1"/>
    <col min="21" max="16384" width="9.140625" style="3"/>
  </cols>
  <sheetData>
    <row r="2" spans="2:17" s="8" customFormat="1" ht="18">
      <c r="B2" s="8" t="s">
        <v>145</v>
      </c>
    </row>
    <row r="4" spans="2:17">
      <c r="B4" s="109" t="s">
        <v>65</v>
      </c>
      <c r="C4" s="2"/>
    </row>
    <row r="5" spans="2:17">
      <c r="B5" s="114" t="s">
        <v>146</v>
      </c>
      <c r="C5" s="114"/>
      <c r="D5" s="114"/>
      <c r="F5" s="9"/>
    </row>
    <row r="7" spans="2:17" s="6" customFormat="1">
      <c r="B7" s="6" t="s">
        <v>33</v>
      </c>
      <c r="D7" s="6" t="s">
        <v>62</v>
      </c>
      <c r="F7" s="6" t="s">
        <v>171</v>
      </c>
      <c r="H7" s="28">
        <v>2021</v>
      </c>
      <c r="I7" s="28">
        <v>2022</v>
      </c>
      <c r="J7" s="28">
        <v>2023</v>
      </c>
      <c r="K7" s="28">
        <v>2024</v>
      </c>
      <c r="L7" s="28">
        <v>2025</v>
      </c>
      <c r="M7" s="28">
        <v>2026</v>
      </c>
      <c r="N7" s="28">
        <v>2027</v>
      </c>
      <c r="O7" s="6" t="s">
        <v>108</v>
      </c>
    </row>
    <row r="9" spans="2:17" s="6" customFormat="1">
      <c r="B9" s="6" t="s">
        <v>147</v>
      </c>
    </row>
    <row r="10" spans="2:17">
      <c r="O10" s="5"/>
      <c r="P10" s="53"/>
    </row>
    <row r="11" spans="2:17">
      <c r="B11" s="3" t="s">
        <v>114</v>
      </c>
      <c r="D11" s="3" t="s">
        <v>111</v>
      </c>
      <c r="H11" s="27"/>
      <c r="I11" s="27"/>
      <c r="J11" s="27"/>
      <c r="K11" s="27"/>
      <c r="L11" s="27"/>
      <c r="M11" s="27"/>
      <c r="N11" s="52">
        <f>'5. Corrections'!R20</f>
        <v>-148971.13373251192</v>
      </c>
      <c r="O11" s="103"/>
      <c r="P11" s="53"/>
      <c r="Q11" s="42"/>
    </row>
    <row r="12" spans="2:17">
      <c r="B12" s="3" t="s">
        <v>115</v>
      </c>
      <c r="D12" s="3" t="s">
        <v>111</v>
      </c>
      <c r="H12" s="27"/>
      <c r="I12" s="27"/>
      <c r="J12" s="27"/>
      <c r="K12" s="27"/>
      <c r="L12" s="27"/>
      <c r="M12" s="27"/>
      <c r="N12" s="106">
        <f>'5. Corrections'!R25</f>
        <v>0</v>
      </c>
      <c r="O12" s="103"/>
      <c r="P12" s="53"/>
      <c r="Q12" s="42"/>
    </row>
    <row r="13" spans="2:17">
      <c r="B13" s="3" t="s">
        <v>116</v>
      </c>
      <c r="D13" s="3" t="s">
        <v>111</v>
      </c>
      <c r="H13" s="27"/>
      <c r="I13" s="27"/>
      <c r="J13" s="27"/>
      <c r="K13" s="27"/>
      <c r="L13" s="27"/>
      <c r="M13" s="27"/>
      <c r="N13" s="106">
        <f>'5. Corrections'!R30</f>
        <v>0</v>
      </c>
      <c r="O13" s="104"/>
      <c r="P13" s="53"/>
      <c r="Q13" s="42"/>
    </row>
    <row r="14" spans="2:17">
      <c r="B14" s="3" t="s">
        <v>148</v>
      </c>
      <c r="D14" s="3" t="s">
        <v>111</v>
      </c>
      <c r="H14" s="27"/>
      <c r="I14" s="27"/>
      <c r="J14" s="27"/>
      <c r="K14" s="27"/>
      <c r="L14" s="27"/>
      <c r="M14" s="27"/>
      <c r="N14" s="106">
        <f>'5. Corrections'!R37</f>
        <v>-1830896.9078400002</v>
      </c>
      <c r="O14" s="103"/>
      <c r="P14" s="53"/>
      <c r="Q14" s="42"/>
    </row>
    <row r="15" spans="2:17">
      <c r="B15" s="3" t="s">
        <v>118</v>
      </c>
      <c r="D15" s="3" t="s">
        <v>111</v>
      </c>
      <c r="H15" s="27"/>
      <c r="I15" s="27"/>
      <c r="J15" s="27"/>
      <c r="K15" s="27"/>
      <c r="L15" s="27"/>
      <c r="M15" s="27"/>
      <c r="N15" s="106">
        <f>'5. Corrections'!R42</f>
        <v>0</v>
      </c>
      <c r="O15" s="103"/>
      <c r="P15" s="53"/>
      <c r="Q15" s="42"/>
    </row>
    <row r="16" spans="2:17">
      <c r="P16" s="53"/>
    </row>
    <row r="17" spans="2:16" s="6" customFormat="1">
      <c r="B17" s="6" t="s">
        <v>149</v>
      </c>
      <c r="P17" s="101"/>
    </row>
    <row r="18" spans="2:16">
      <c r="P18" s="53"/>
    </row>
    <row r="19" spans="2:16">
      <c r="B19" s="3" t="s">
        <v>149</v>
      </c>
      <c r="D19" s="3" t="s">
        <v>111</v>
      </c>
      <c r="H19" s="27"/>
      <c r="I19" s="27"/>
      <c r="J19" s="27"/>
      <c r="K19" s="27"/>
      <c r="L19" s="27"/>
      <c r="M19" s="27"/>
      <c r="N19" s="45">
        <f>SUM(N11:N15)</f>
        <v>-1979868.0415725121</v>
      </c>
      <c r="P19" s="53"/>
    </row>
    <row r="20" spans="2:16">
      <c r="I20" s="42"/>
      <c r="J20" s="42"/>
      <c r="L20" s="102"/>
      <c r="M20" s="102"/>
    </row>
    <row r="21" spans="2:16">
      <c r="M21" s="42"/>
    </row>
    <row r="22" spans="2:16">
      <c r="L22" s="62"/>
      <c r="M22" s="62"/>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90" zoomScaleNormal="90" workbookViewId="0">
      <pane xSplit="4" ySplit="7" topLeftCell="E20"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0.7109375" style="3" bestFit="1" customWidth="1"/>
    <col min="7" max="7" width="2.5703125" style="3" customWidth="1"/>
    <col min="8" max="13" width="9.85546875" style="3" customWidth="1"/>
    <col min="14" max="14" width="18.5703125" style="3" bestFit="1" customWidth="1"/>
    <col min="15" max="15" width="2.5703125" style="3" customWidth="1"/>
    <col min="16" max="23" width="13.5703125" style="3" customWidth="1"/>
    <col min="24" max="16384" width="9.140625" style="3"/>
  </cols>
  <sheetData>
    <row r="2" spans="2:16" s="8" customFormat="1" ht="18">
      <c r="B2" s="8" t="s">
        <v>150</v>
      </c>
    </row>
    <row r="4" spans="2:16">
      <c r="B4" s="109" t="s">
        <v>65</v>
      </c>
      <c r="C4" s="2"/>
    </row>
    <row r="5" spans="2:16">
      <c r="B5" s="114" t="s">
        <v>151</v>
      </c>
      <c r="C5" s="114"/>
      <c r="D5" s="114"/>
      <c r="F5" s="9"/>
    </row>
    <row r="7" spans="2:16" s="6" customFormat="1">
      <c r="B7" s="6" t="s">
        <v>33</v>
      </c>
      <c r="D7" s="6" t="s">
        <v>62</v>
      </c>
      <c r="F7" s="6" t="s">
        <v>171</v>
      </c>
      <c r="H7" s="28">
        <v>2021</v>
      </c>
      <c r="I7" s="28">
        <v>2022</v>
      </c>
      <c r="J7" s="28">
        <v>2023</v>
      </c>
      <c r="K7" s="28">
        <v>2024</v>
      </c>
      <c r="L7" s="28">
        <v>2025</v>
      </c>
      <c r="M7" s="28">
        <v>2026</v>
      </c>
      <c r="N7" s="28">
        <v>2027</v>
      </c>
      <c r="P7" s="6" t="s">
        <v>108</v>
      </c>
    </row>
    <row r="9" spans="2:16" s="6" customFormat="1">
      <c r="B9" s="6" t="s">
        <v>152</v>
      </c>
    </row>
    <row r="11" spans="2:16">
      <c r="B11" s="11" t="s">
        <v>126</v>
      </c>
    </row>
    <row r="12" spans="2:16">
      <c r="B12" s="3" t="s">
        <v>127</v>
      </c>
      <c r="D12" s="3" t="s">
        <v>128</v>
      </c>
      <c r="H12" s="7"/>
      <c r="I12" s="7"/>
      <c r="J12" s="7"/>
      <c r="K12" s="44"/>
      <c r="L12" s="44"/>
      <c r="M12" s="44"/>
      <c r="N12" s="25">
        <f>'4. Input capacity'!O12</f>
        <v>109121387</v>
      </c>
    </row>
    <row r="13" spans="2:16">
      <c r="B13" s="3" t="s">
        <v>129</v>
      </c>
      <c r="D13" s="3" t="s">
        <v>128</v>
      </c>
      <c r="H13" s="7"/>
      <c r="I13" s="7"/>
      <c r="J13" s="7"/>
      <c r="K13" s="44"/>
      <c r="L13" s="44"/>
      <c r="M13" s="44"/>
      <c r="N13" s="25">
        <f>'4. Input capacity'!O13</f>
        <v>175878613</v>
      </c>
    </row>
    <row r="15" spans="2:16">
      <c r="B15" s="3" t="s">
        <v>130</v>
      </c>
      <c r="D15" s="3" t="s">
        <v>128</v>
      </c>
      <c r="H15" s="7"/>
      <c r="I15" s="7"/>
      <c r="J15" s="7"/>
      <c r="K15" s="44"/>
      <c r="L15" s="44"/>
      <c r="M15" s="44"/>
      <c r="N15" s="25">
        <f>'4. Input capacity'!O15</f>
        <v>34958672</v>
      </c>
    </row>
    <row r="16" spans="2:16">
      <c r="B16" s="3" t="s">
        <v>131</v>
      </c>
      <c r="D16" s="3" t="s">
        <v>128</v>
      </c>
      <c r="H16" s="7"/>
      <c r="I16" s="7"/>
      <c r="J16" s="7"/>
      <c r="K16" s="44"/>
      <c r="L16" s="44"/>
      <c r="M16" s="44"/>
      <c r="N16" s="25">
        <f>'4. Input capacity'!O16</f>
        <v>15987135</v>
      </c>
    </row>
    <row r="18" spans="2:17">
      <c r="B18" s="3" t="s">
        <v>132</v>
      </c>
      <c r="D18" s="3" t="s">
        <v>128</v>
      </c>
      <c r="H18" s="7"/>
      <c r="I18" s="7"/>
      <c r="J18" s="7"/>
      <c r="K18" s="44"/>
      <c r="L18" s="44"/>
      <c r="M18" s="44"/>
      <c r="N18" s="25">
        <f>'4. Input capacity'!O18</f>
        <v>33329341</v>
      </c>
    </row>
    <row r="20" spans="2:17">
      <c r="B20" s="2" t="s">
        <v>79</v>
      </c>
    </row>
    <row r="21" spans="2:17">
      <c r="B21" s="3" t="s">
        <v>80</v>
      </c>
      <c r="D21" s="3" t="s">
        <v>6</v>
      </c>
      <c r="F21" s="35">
        <f>'2. Parameters'!F30</f>
        <v>0.75</v>
      </c>
    </row>
    <row r="22" spans="2:17">
      <c r="B22" s="3" t="s">
        <v>81</v>
      </c>
      <c r="D22" s="3" t="s">
        <v>6</v>
      </c>
      <c r="F22" s="35">
        <f>'2. Parameters'!F31</f>
        <v>0</v>
      </c>
    </row>
    <row r="23" spans="2:17">
      <c r="F23" s="12"/>
    </row>
    <row r="24" spans="2:17">
      <c r="B24" s="2" t="s">
        <v>76</v>
      </c>
      <c r="F24" s="12"/>
    </row>
    <row r="25" spans="2:17">
      <c r="B25" s="3" t="s">
        <v>153</v>
      </c>
      <c r="D25" s="3" t="s">
        <v>6</v>
      </c>
      <c r="F25" s="35">
        <f>'2. Parameters'!F25</f>
        <v>0.4</v>
      </c>
    </row>
    <row r="26" spans="2:17">
      <c r="B26" s="3" t="s">
        <v>154</v>
      </c>
      <c r="D26" s="3" t="s">
        <v>6</v>
      </c>
      <c r="F26" s="35">
        <f>'2. Parameters'!F26</f>
        <v>0.6</v>
      </c>
    </row>
    <row r="28" spans="2:17" s="6" customFormat="1">
      <c r="B28" s="6" t="s">
        <v>155</v>
      </c>
    </row>
    <row r="30" spans="2:17">
      <c r="B30" s="3" t="s">
        <v>149</v>
      </c>
      <c r="D30" s="3" t="s">
        <v>111</v>
      </c>
      <c r="H30" s="7"/>
      <c r="I30" s="7"/>
      <c r="J30" s="44"/>
      <c r="K30" s="44"/>
      <c r="L30" s="44"/>
      <c r="M30" s="44"/>
      <c r="N30" s="25">
        <f>'6. Allowed revenues'!N19</f>
        <v>-1979868.0415725121</v>
      </c>
      <c r="P30" s="42"/>
      <c r="Q30" s="14"/>
    </row>
    <row r="32" spans="2:17">
      <c r="B32" s="3" t="s">
        <v>156</v>
      </c>
      <c r="D32" s="3" t="s">
        <v>42</v>
      </c>
      <c r="H32" s="7"/>
      <c r="I32" s="7"/>
      <c r="J32" s="7"/>
      <c r="K32" s="66"/>
      <c r="L32" s="44"/>
      <c r="M32" s="44"/>
      <c r="N32" s="110">
        <f>(N$30*$F25)/N12</f>
        <v>-7.2574885492337534E-3</v>
      </c>
      <c r="P32" s="99"/>
    </row>
    <row r="33" spans="2:16">
      <c r="B33" s="3" t="s">
        <v>157</v>
      </c>
      <c r="D33" s="3" t="s">
        <v>42</v>
      </c>
      <c r="H33" s="7"/>
      <c r="I33" s="7"/>
      <c r="J33" s="7"/>
      <c r="K33" s="90"/>
      <c r="L33" s="44"/>
      <c r="M33" s="44"/>
      <c r="N33" s="110">
        <f>(N$30*$F26)/N13</f>
        <v>-6.7542085116597279E-3</v>
      </c>
    </row>
    <row r="35" spans="2:16" s="6" customFormat="1">
      <c r="B35" s="6" t="s">
        <v>158</v>
      </c>
    </row>
    <row r="37" spans="2:16">
      <c r="B37" s="3" t="s">
        <v>159</v>
      </c>
      <c r="D37" s="3" t="s">
        <v>111</v>
      </c>
      <c r="H37" s="7"/>
      <c r="I37" s="7"/>
      <c r="J37" s="7"/>
      <c r="K37" s="44"/>
      <c r="L37" s="44"/>
      <c r="M37" s="44"/>
      <c r="N37" s="26">
        <f>$F21*(N15*N32+N16*N33)+$F22*N18*N32</f>
        <v>-271269.45377285383</v>
      </c>
      <c r="P37" s="42"/>
    </row>
    <row r="38" spans="2:16">
      <c r="B38" s="3" t="s">
        <v>160</v>
      </c>
      <c r="H38" s="7"/>
      <c r="I38" s="7"/>
      <c r="J38" s="7"/>
      <c r="K38" s="66"/>
      <c r="L38" s="44"/>
      <c r="M38" s="44"/>
      <c r="N38" s="16">
        <f>N30/(N30-N37)</f>
        <v>1.1587672234484263</v>
      </c>
    </row>
    <row r="40" spans="2:16" s="6" customFormat="1">
      <c r="B40" s="6" t="s">
        <v>161</v>
      </c>
    </row>
    <row r="42" spans="2:16">
      <c r="B42" s="3" t="s">
        <v>162</v>
      </c>
      <c r="D42" s="3" t="s">
        <v>42</v>
      </c>
      <c r="H42" s="7"/>
      <c r="I42" s="7"/>
      <c r="J42" s="66"/>
      <c r="K42" s="91"/>
      <c r="L42" s="44"/>
      <c r="M42" s="44"/>
      <c r="N42" s="108">
        <f>N32*N$38</f>
        <v>-8.409739855404344E-3</v>
      </c>
      <c r="P42" s="14"/>
    </row>
    <row r="43" spans="2:16">
      <c r="B43" s="3" t="s">
        <v>163</v>
      </c>
      <c r="D43" s="3" t="s">
        <v>42</v>
      </c>
      <c r="H43" s="7"/>
      <c r="I43" s="7"/>
      <c r="J43" s="66"/>
      <c r="K43" s="91"/>
      <c r="L43" s="44"/>
      <c r="M43" s="44"/>
      <c r="N43" s="108">
        <f>N33*N$38</f>
        <v>-7.8265554436476713E-3</v>
      </c>
      <c r="P43" s="65"/>
    </row>
    <row r="44" spans="2:16">
      <c r="B44" s="3" t="s">
        <v>164</v>
      </c>
      <c r="D44" s="3" t="s">
        <v>42</v>
      </c>
      <c r="H44" s="7"/>
      <c r="I44" s="7"/>
      <c r="J44" s="66"/>
      <c r="K44" s="91"/>
      <c r="L44" s="44"/>
      <c r="M44" s="44"/>
      <c r="N44" s="108">
        <f>(1-$F$21)*N32*N$38</f>
        <v>-2.102434963851086E-3</v>
      </c>
      <c r="P44" s="65"/>
    </row>
    <row r="45" spans="2:16">
      <c r="B45" s="3" t="s">
        <v>165</v>
      </c>
      <c r="D45" s="3" t="s">
        <v>42</v>
      </c>
      <c r="H45" s="7"/>
      <c r="I45" s="7"/>
      <c r="J45" s="66"/>
      <c r="K45" s="91"/>
      <c r="L45" s="44"/>
      <c r="M45" s="44"/>
      <c r="N45" s="108">
        <f>(1-$F$21)*N33*N$38</f>
        <v>-1.9566388609119178E-3</v>
      </c>
      <c r="P45" s="65"/>
    </row>
    <row r="46" spans="2:16">
      <c r="B46" s="3" t="s">
        <v>166</v>
      </c>
      <c r="D46" s="3" t="s">
        <v>42</v>
      </c>
      <c r="H46" s="7"/>
      <c r="I46" s="7"/>
      <c r="J46" s="66"/>
      <c r="K46" s="91"/>
      <c r="L46" s="44"/>
      <c r="M46" s="44"/>
      <c r="N46" s="108">
        <f>(1-$F22)*N32*N38</f>
        <v>-8.409739855404344E-3</v>
      </c>
      <c r="P46" s="65"/>
    </row>
    <row r="48" spans="2:16" s="6" customFormat="1">
      <c r="B48" s="6" t="s">
        <v>167</v>
      </c>
    </row>
    <row r="50" spans="2:14">
      <c r="B50" s="3" t="s">
        <v>168</v>
      </c>
      <c r="D50" s="3" t="s">
        <v>111</v>
      </c>
      <c r="H50" s="7"/>
      <c r="I50" s="7"/>
      <c r="J50" s="7"/>
      <c r="K50" s="92"/>
      <c r="L50" s="44"/>
      <c r="M50" s="44"/>
      <c r="N50" s="13">
        <f>N12*N32+N13*N33</f>
        <v>-1979868.0415725121</v>
      </c>
    </row>
    <row r="51" spans="2:14">
      <c r="B51" s="3" t="s">
        <v>169</v>
      </c>
      <c r="D51" s="3" t="s">
        <v>111</v>
      </c>
      <c r="H51" s="7"/>
      <c r="I51" s="7"/>
      <c r="J51" s="7"/>
      <c r="K51" s="92"/>
      <c r="L51" s="44"/>
      <c r="M51" s="44"/>
      <c r="N51" s="13">
        <f>(N12-N15-N18)*N42+(N13-N16)*N43+N15*N44+N16*N45+N18*N46</f>
        <v>-1979868.0415725126</v>
      </c>
    </row>
    <row r="53" spans="2:14">
      <c r="B53" s="3" t="s">
        <v>170</v>
      </c>
      <c r="H53" s="7"/>
      <c r="I53" s="7"/>
      <c r="J53" s="7"/>
      <c r="K53" s="92"/>
      <c r="L53" s="44"/>
      <c r="M53" s="44"/>
      <c r="N53" s="13" t="b">
        <f>ROUND(N50,3)=ROUND(N51,3)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  s t a n d a l o n e = " n o " ? > < D a t a M a s h u p   x m l n s = " h t t p : / / s c h e m a s . m i c r o s o f t . c o m / D a t a M a s h u p " > A A A A A H E 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d 3 2 F K w A A A D 3 A A A A E g A A A E N v b m Z p Z y 9 Q Y W N r Y W d l L n h t b I S P s Q 6 C M B i E d x P f g X S n L W U x 5 K c M r m B M T I x r A w 0 Q S 2 t o s b y b g 4 / k K w h R 1 M 3 x 7 r 7 k 7 h 6 3 O 2 R j p 4 K r 7 G 1 r d I o i T F F g n d C V U E b L F G m D M r 5 e w V 6 U Z 1 H L Y K K 1 T U Z b p a h x 7 p I Q 4 r 3 H P s a m r w m j N C K n I j + U j e w E + s D t f z h s 9 V x b S s T h + F r D G Y 5 i h m O 2 w R T I Y k L R 6 i / A p s F z + m P C d l B u 6 C X X K t z l Q B Y J 5 P 2 B P w E A A P / / A w B Q S w M E F A A C A A g A A A A h A J f c W t + B B Q A A 6 h w A A B M A A A B G b 3 J t d W x h c y 9 T Z W N 0 a W 9 u M S 5 t 7 F l b b + J G F H 6 P t P 9 h 5 L x g C U g M b F + 2 R I L d N s o 2 C d 1 A s w 8 I R Q M + G A d f 6 M y Y t E H 8 9 5 6 x D b Z h b E z S 3 e 5 W G 0 X B 2 G f O f b 5 v j s N h I m z f I / 3 o 0 3 h 3 c s J n l I F J T r X P f 1 y d 9 d y x H z x p p E 0 c E G 9 O C P 5 0 G c q 3 S f 9 P p / 6 B C j q m H H h F 6 7 y / q d 3 0 P 1 3 X z m v N Z t V o N Z v n m l 6 N V t x 9 e L i + 7 T 5 c 4 i q 5 e D W 8 p S 6 0 t c 1 t b b Q e S k 2 j W N w c + w 9 X 3 h K 4 A G Z 7 F k h r G 9 n V s D + Z g U v b G k p p 1 S s B b l v L C O 9 q O 9 U + U s o u 2 o 3 z x r m M Y 0 D H D t T 7 4 G D E d / 4 T r + y Z q x K g k x k Z y n V k D J b t E T r l k x m z H 5 f g j c h F m 0 h l + t b A n f 2 I T l o w t R 3 U Y S q t Z N y I L V S G p 9 o 9 s C X 1 0 I Z F z k h g i z E D 2 8 R v 2 g i 1 y B J o x G e E D K N C C E r n 4 Y O P V N N z H T B y P N j 1 c + t G B 4 u / p B M q w P K Z D S P y 8 w X R W k 3 S F / a c C 3 + a 2 O q g r 7 C g X B i l T B h b G z J W d U L D S G V a C P V M E q W E 2 x D e N n Q Z / e G 1 x i v W N h R r G y X X N l 9 h t 6 V c m 6 r q b 7 7 j u y 6 m c w n s y X 4 0 M 6 1 1 B 6 6 / h P e + E 7 g e r y R l q a 6 0 z y A E O P b j H I j s F y y B N v h 7 A Y T K K o c 9 L m / d U G k + e 6 + 3 c I H N 4 y 9 d 3 B E o w h d U d o r 2 q + + g B / I q 9 l e q R a + I 7 T n w j G H h 9 0 4 g I G D a e q 9 b 3 m 7 9 v m R + s K i o g 6 u S l b b T i l J r T h o j T 9 S b R 8 a y 3 T D p Y D x K X W 2 N h l Z p 1 O B j M B m 1 N s 1 6 b X N R 7 w d u Z b g v M 9 K r R M h s e o H j y I j w w h 0 D W + 8 H 3 U y 2 i M 9 E U q O 3 V b R e 4 H q P Y T b q H 4 B P w J O 3 F K o b O a q b U n V u v i L F n X 2 9 p 5 g M E / 4 i w g c L l v g n 1 W g d 0 w w f R q 2 W m G p g V s M H q N g I f 6 8 8 8 V O r L l s t 0 X v v O 1 h H E w g G S + a b m l u A J X + 2 r U w / S z G 2 a W i F R 9 X V 1 p 6 6 d g W N o u i q l / a O / u b E 9 s q G l 9 D p L q H 9 o N M c O j 3 E M C o a 3 S H H W w A F Y z X U + h J 7 5 W n 5 / n 5 D y 4 c k 7 5 D A 9 S J k U L r S + E G b L 6 f N z R H E Y j 4 s I E O a E f m k 0 P J Y w s l A Q U K F X 5 Z Q k p A 4 g n 0 2 o h D + V T F / c S J Q e P W d M 0 J e c V + I + E j g d u L U t w 3 5 W V 9 V q F 9 m x s m D f k Q x W Y g s Y E X Z T e / 8 l I x R Q q a x K 9 P Y l 2 m W k G n t 2 9 I P H b g U s x T u t 5 7 P + A L L M w 9 P 3 y S V U f 6 I 9 o o 2 n o r 1 M i e 7 h j Q Q N e 3 c o Z x D 8 T Y + g B j p e S H C i W J 1 R 4 w i K l x Y 5 Q 8 T h 0 a I o x B J P V T 8 d 6 C 0 U 6 8 S D b K p h W q I 2 w G U i p / R B h l 1 E Q T q 0 V C H R x K 8 J T A i 0 w b C E T q 8 G Q 1 h w Q V B z I z a Q i A s 6 g c j v y E O Z V c x s 6 5 L 1 8 Y o K I 7 S z V c W 6 K t V Y d M J / w Y t G S l e 6 r n P a C + k o z w 2 U p M R 2 t 4 S j l 7 d E s 0 u d 2 w 5 S s E z o e 2 E X I 7 k l l 1 L 3 x 6 9 G G X p 5 T W 4 m l D O 0 b A a z r Z Y A g Z W 4 E Q N 7 N k g a o L i G W h q Q X Q / h s 0 u d a g 3 i T r Z T 9 o 3 V C L f G V l y l x 7 3 B l I N 0 P H U 1 Q / G q V e Q O D w N f M Q C h w h G P b 5 A M q l V y T j l E 3 6 l + M T B o S t s h x p B x f M n 6 t g C b M E n P v a K T H o I K I U 5 N 0 o n P Y S P 2 K 9 U u u K X a 6 F h z N B a x 6 1 Z Z C 7 9 m r 2 3 A E b l y 3 d M F G 7 d M M V f 9 b R 4 K n f o Q 4 4 b h c d G 1 Z o 9 5 U f 1 e J 4 n M u u D s y 7 + d g Z n n Y H s w d + v Q 5 7 8 1 J E f t x B g m 8 S V n 8 F 0 G o P o o V K R V D f j 1 S + O 7 d o e G g d O R I C k 4 J H L Q Z 9 0 6 / d 1 2 V y X l 9 F 1 S r O k B Q Z z 8 C L s O 0 J 6 K 1 v 4 s v X w + a j c f x + K d p 4 C 9 x S 7 8 c q b + / 4 i q g e G B 8 x C G n P r Q X 1 Z J w u g c 2 x o 1 B 2 + F y m 5 O F l F c p b 1 P O F S T 5 4 M c L / H q 8 3 d W U W P P U 5 D d Y j D + 1 D 9 f Y d l 7 E X V + l 9 E p R + a g t T j V u 7 Y k h y M E o X v / g E A A P / / A w B Q S w E C L Q A U A A Y A C A A A A C E A K t 2 q Q N I A A A A 3 A Q A A E w A A A A A A A A A A A A A A A A A A A A A A W 0 N v b n R l b n R f V H l w Z X N d L n h t b F B L A Q I t A B Q A A g A I A A A A I Q C 1 3 f Y U r A A A A P c A A A A S A A A A A A A A A A A A A A A A A A s D A A B D b 2 5 m a W c v U G F j a 2 F n Z S 5 4 b W x Q S w E C L Q A U A A I A C A A A A C E A l 9 x a 3 4 E F A A D q H A A A E w A A A A A A A A A A A A A A A A D n A w A A R m 9 y b X V s Y X M v U 2 V j d G l v b j E u b V B L B Q Y A A A A A A w A D A M I A A A C Z 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l A A A A A A A A A o 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4 L j M 4 N j k 3 M z J 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N j M z N T A z O S 1 m Y z h j L T Q z O T Q t O W I 0 N y 0 y M 2 I w M m Z l M G Q 5 M j E i 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R G V z a W 5 2 Z X N 0 Z X J p b m 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U x L j U 0 N T I 4 N j R a I i 8 + P E V u d H J 5 I F R 5 c G U 9 I k Z p b G x D b 2 x 1 b W 5 U e X B l c y I g V m F s d W U 9 I n N B d 1 l D Q l F V R E J n T T 0 i 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h O T c z Z m V i L T l j N G M t N D c 4 Z C 1 h Y 2 N j L T Z j N D A z Y z M 4 Z W Z j Y y I v P j x F b n R y e S B U e X B l P S J S Z W x h d G l v b n N o a X B J b m Z v Q 2 9 u d G F p b m V y I i B W Y W x 1 Z T 0 i c 3 s m c X V v d D t j b 2 x 1 b W 5 D b 3 V u d C Z x d W 9 0 O z o 4 L C Z x d W 9 0 O 2 t l e U N v b H V t b k 5 h b W V z J n F 1 b 3 Q 7 O l t d L C Z x d W 9 0 O 3 F 1 Z X J 5 U m V s Y X R p b 2 5 z a G l w c y Z x d W 9 0 O z p b X S w m c X V v d D t j 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0 N v b H V t b k N v d W 5 0 J n F 1 b 3 Q 7 O j g s J n F 1 b 3 Q 7 S 2 V 5 Q 2 9 s d W 1 u T m F t Z X M m c X V v d D s 6 W 1 0 s J n F 1 b 3 Q 7 Q 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t e m V 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N j A y N z Y 2 W i I v P j x F b n R y e S B U e X B l P S J G a W x s Q 2 9 s d W 1 u V H l w Z X M i I F Z h b H V l P S J z Q m d Z R E J R V U Z C U V l E I i 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j A 0 M W R k M G U t N z I 5 M C 0 0 N T F m L W E 3 O D Y t Y z l k N 2 Z h Z D g 3 N m U x I i 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X V U k l M k Z P b W J v d X 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5 L j Q 1 M T k 3 M j h a I i 8 + P E V u d H J 5 I F R 5 c G U 9 I k Z p b G x D b 2 x 1 b W 5 U e X B l c y I g V m F s d W U 9 I n N B d 1 V G Q m d Z R 0 J n P T 0 i 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O W N j Z T c 3 M y 0 w M z d j L T R m Z T M t O T I 5 N C 1 j N G M 1 O T E 2 N G Q 4 M z A i 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3 B l c m F 0 a W 9 u Z W x l J T I w a 2 9 z d G 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O T A y N z Y 1 W i I v P j x F b n R y e S B U e X B l P S J G a W x s Q 2 9 s d W 1 u V H l w Z X M i I F Z h b H V l P S J z Q m d Z R E J R V U d B d z 0 9 I i 8 + P E V u d H J 5 I F R 5 c G U 9 I k Z p b G x D b 2 x 1 b W 5 O Y W 1 l c y I g V m F s d W U 9 I n N b J n F 1 b 3 Q 7 Q 2 F 0 Z W d v c m l l J n F 1 b 3 Q 7 L C Z x d W 9 0 O 1 N 1 Y m N h d G V n b 3 J p Z S Z x d W 9 0 O y w m c X V v d D t K Y W F y J n F 1 b 3 Q 7 L C Z x d W 9 0 O 1 R U L 0 J U L 0 F U J n F 1 b 3 Q 7 L C Z x d W 9 0 O 0 t D 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Q x M W R m Z D h h L T J i O T g t N D c 5 Z C 0 5 M j Q y L T I 0 Z D g w M T E z O W Y x M y I v P j x F b n R y e S B U e X B l P S J S Z W x h d G l v b n N o a X B J b m Z v Q 2 9 u d G F p b m V y I i B W Y W x 1 Z T 0 i c 3 s m c X V v d D t j b 2 x 1 b W 5 D b 3 V u d C Z x d W 9 0 O z o 3 L C Z x d W 9 0 O 2 t l e U N v b H V t b k 5 h b W V z J n F 1 b 3 Q 7 O l t d L C Z x d W 9 0 O 3 F 1 Z X J 5 U m V s Y X R p b 2 5 z a G l w c y Z x d W 9 0 O z p b X S w m c X V v d D t j 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D b 2 x 1 b W 5 D b 3 V u d C Z x d W 9 0 O z o 3 L C Z x d W 9 0 O 0 t l e U N v b H V t b k 5 h b W V z J n F 1 b 3 Q 7 O l t d L C Z x d W 9 0 O 0 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W 5 2 Z X N 0 Z X J p b m d l b i 9 C c m 9 u P C 9 J d G V t U G F 0 a D 4 8 L 0 l 0 Z W 1 M b 2 N h d G l v b j 4 8 U 3 R h Y m x l R W 5 0 c m l l c y 8 + P C 9 J d G V t P j x J d G V t P j x J d G V t T G 9 j Y X R p b 2 4 + P E l 0 Z W 1 U e X B l P k Z v c m 1 1 b G E 8 L 0 l 0 Z W 1 U e X B l P j x J d G V t U G F 0 a D 5 T Z W N 0 a W 9 u M S 9 J b n Z l c 3 R l c m l u Z 2 V u L 1 J E X 0 x O Q l 9 H P C 9 J d G V t U G F 0 a D 4 8 L 0 l 0 Z W 1 M b 2 N h d G l v b j 4 8 U 3 R h Y m x l R W 5 0 c m l l c y 8 + P C 9 J d G V t P j x J d G V t P j x J d G V t T G 9 j Y X R p b 2 4 + P E l 0 Z W 1 U e X B l P k Z v c m 1 1 b G E 8 L 0 l 0 Z W 1 U e X B l P j x J d G V t U G F 0 a D 5 T Z W N 0 a W 9 u M S 9 J b n Z l c 3 R l c m l u Z 2 V u L 2 R i b 1 9 J b n Z l c 3 R l c m l u Z 2 V u P C 9 J d G V t U G F 0 a D 4 8 L 0 l 0 Z W 1 M b 2 N h d G l v b j 4 8 U 3 R h Y m x l R W 5 0 c m l l c y 8 + P C 9 J d G V t P j x J d G V t P j x J d G V t T G 9 j Y X R p b 2 4 + P E l 0 Z W 1 U e X B l P k Z v c m 1 1 b G E 8 L 0 l 0 Z W 1 U e X B l P j x J d G V t U G F 0 a D 5 T Z W N 0 a W 9 u M S 9 J b n Z l c 3 R l c m l u Z 2 V u L 0 p h Y X I l M 0 U l M 0 Q y M D I w P C 9 J d G V t U G F 0 a D 4 8 L 0 l 0 Z W 1 M b 2 N h d G l v b j 4 8 U 3 R h Y m x l R W 5 0 c m l l c y 8 + P C 9 J d G V t P j x J d G V t P j x J d G V t T G 9 j Y X R p b 2 4 + P E l 0 Z W 1 U e X B l P k Z v c m 1 1 b G E 8 L 0 l 0 Z W 1 U e X B l P j x J d G V t U G F 0 a D 5 T Z W N 0 a W 9 u M S 9 J b n Z l c 3 R l c m l u Z 2 V u L 1 J p a m V u J T I w Z 2 V n c m 9 l c G V l c m Q 8 L 0 l 0 Z W 1 Q Y X R o P j w v S X R l b U x v Y 2 F 0 a W 9 u P j x T d G F i b G V F b n R y a W V z L z 4 8 L 0 l 0 Z W 0 + P E l 0 Z W 0 + P E l 0 Z W 1 M b 2 N h d G l v b j 4 8 S X R l b V R 5 c G U + R m 9 y b X V s Y T w v S X R l b V R 5 c G U + P E l 0 Z W 1 Q Y X R o P l N l Y 3 R p b 2 4 x L 0 l u d m V z d G V y a W 5 n Z W 4 v U m l q Z W 4 l M j B n Z X N v c n R l Z X J k P C 9 J d G V t U G F 0 a D 4 8 L 0 l 0 Z W 1 M b 2 N h d G l v b j 4 8 U 3 R h Y m x l R W 5 0 c m l l c y 8 + P C 9 J d G V t P j x J d G V t P j x J d G V t T G 9 j Y X R p b 2 4 + P E l 0 Z W 1 U e X B l P k Z v c m 1 1 b G E 8 L 0 l 0 Z W 1 U e X B l P j x J d G V t U G F 0 a D 5 T Z W N 0 a W 9 u M S 9 J b n Z l c 3 R l c m l u Z 2 V u L 0 l u Z G V 4 J T I w d G 9 l Z 2 V 2 b 2 V n Z D w v S X R l b V B h d G g + P C 9 J d G V t T G 9 j Y X R p b 2 4 + P F N 0 Y W J s Z U V u d H J p Z X M v P j w v S X R l b T 4 8 S X R l b T 4 8 S X R l b U x v Y 2 F 0 a W 9 u P j x J d G V t V H l w Z T 5 G b 3 J t d W x h P C 9 J d G V t V H l w Z T 4 8 S X R l b V B h d G g + U 2 V j d G l v b j E v S W 5 2 Z X N 0 Z X J p b m d l b i 9 W b 2 x n b 3 J k Z S U y M H Z h b i U y M G t v b G 9 t b W V u J T I w Z 2 V 3 a W p 6 a W d k P C 9 J d G V t U G F 0 a D 4 8 L 0 l 0 Z W 1 M b 2 N h d G l v b j 4 8 U 3 R h Y m x l R W 5 0 c m l l c y 8 + P C 9 J d G V t P j x J d G V t P j x J d G V t T G 9 j Y X R p b 2 4 + P E l 0 Z W 1 U e X B l P k Z v c m 1 1 b G E 8 L 0 l 0 Z W 1 U e X B l P j x J d G V t U G F 0 a D 5 T Z W N 0 a W 9 u M S 9 E Z X N p b n Z l c 3 R l c m l u Z y 9 C c m 9 u P C 9 J d G V t U G F 0 a D 4 8 L 0 l 0 Z W 1 M b 2 N h d G l v b j 4 8 U 3 R h Y m x l R W 5 0 c m l l c y 8 + P C 9 J d G V t P j x J d G V t P j x J d G V t T G 9 j Y X R p b 2 4 + P E l 0 Z W 1 U e X B l P k Z v c m 1 1 b G E 8 L 0 l 0 Z W 1 U e X B l P j x J d G V t U G F 0 a D 5 T Z W N 0 a W 9 u M S 9 E Z X N p b n Z l c 3 R l c m l u Z y 9 S R F 9 M T k J f R z w v S X R l b V B h d G g + P C 9 J d G V t T G 9 j Y X R p b 2 4 + P F N 0 Y W J s Z U V u d H J p Z X M v P j w v S X R l b T 4 8 S X R l b T 4 8 S X R l b U x v Y 2 F 0 a W 9 u P j x J d G V t V H l w Z T 5 G b 3 J t d W x h P C 9 J d G V t V H l w Z T 4 8 S X R l b V B h d G g + U 2 V j d G l v b j E v R G V z a W 5 2 Z X N 0 Z X J p b m c v Z G J v X 0 l u d m V z d G V y a W 5 n Z W 4 8 L 0 l 0 Z W 1 Q Y X R o P j w v S X R l b U x v Y 2 F 0 a W 9 u P j x T d G F i b G V F b n R y a W V z L z 4 8 L 0 l 0 Z W 0 + P E l 0 Z W 0 + P E l 0 Z W 1 M b 2 N h d G l v b j 4 8 S X R l b V R 5 c G U + R m 9 y b X V s Y T w v S X R l b V R 5 c G U + P E l 0 Z W 1 Q Y X R o P l N l Y 3 R p b 2 4 x L 0 R l c 2 l u d m V z d G V y a W 5 n L 1 J p a m V u J T I w Z 2 V m a W x 0 Z X J k P C 9 J d G V t U G F 0 a D 4 8 L 0 l 0 Z W 1 M b 2 N h d G l v b j 4 8 U 3 R h Y m x l R W 5 0 c m l l c y 8 + P C 9 J d G V t P j x J d G V t P j x J d G V t T G 9 j Y X R p b 2 4 + P E l 0 Z W 1 U e X B l P k Z v c m 1 1 b G E 8 L 0 l 0 Z W 1 U e X B l P j x J d G V t U G F 0 a D 5 T Z W N 0 a W 9 u M S 9 E Z X N p b n Z l c 3 R l c m l u Z y 9 S a W p l b i U y M G d l c 2 9 y d G V l c m Q 8 L 0 l 0 Z W 1 Q Y X R o P j w v S X R l b U x v Y 2 F 0 a W 9 u P j x T d G F i b G V F b n R y a W V z L z 4 8 L 0 l 0 Z W 0 + P E l 0 Z W 0 + P E l 0 Z W 1 M b 2 N h d G l v b j 4 8 S X R l b V R 5 c G U + R m 9 y b X V s Y T w v S X R l b V R 5 c G U + P E l 0 Z W 1 Q Y X R o P l N l Y 3 R p b 2 4 x L 0 R l c 2 l u d m V z d G V y a W 5 n L 0 t v b G 9 t b W V u J T I w d m V y d 2 l q Z G V y Z D w v S X R l b V B h d G g + P C 9 J d G V t T G 9 j Y X R p b 2 4 + P F N 0 Y W J s Z U V u d H J p Z X M v P j w v S X R l b T 4 8 S X R l b T 4 8 S X R l b U x v Y 2 F 0 a W 9 u P j x J d G V t V H l w Z T 5 G b 3 J t d W x h P C 9 J d G V t V H l w Z T 4 8 S X R l b V B h d G g + U 2 V j d G l v b j E v R G V z a W 5 2 Z X N 0 Z X J p b m c v S W 5 k Z X g l M j B 0 b 2 V n Z X Z v Z W d k P C 9 J d G V t U G F 0 a D 4 8 L 0 l 0 Z W 1 M b 2 N h d G l v b j 4 8 U 3 R h Y m x l R W 5 0 c m l l c y 8 + P C 9 J d G V t P j x J d G V t P j x J d G V t T G 9 j Y X R p b 2 4 + P E l 0 Z W 1 U e X B l P k Z v c m 1 1 b G E 8 L 0 l 0 Z W 1 U e X B l P j x J d G V t U G F 0 a D 5 T Z W N 0 a W 9 u M S 9 E Z X N p b n Z l c 3 R l c m l u Z y 9 W b 2 x n b 3 J k Z S U y M H Z h b i U y M G t v b G 9 t b W V u J T I w Z 2 V 3 a W p 6 a W d k P C 9 J d G V t U G F 0 a D 4 8 L 0 l 0 Z W 1 M b 2 N h d G l v b j 4 8 U 3 R h Y m x l R W 5 0 c m l l c y 8 + P C 9 J d G V t P j x J d G V t P j x J d G V t T G 9 j Y X R p b 2 4 + P E l 0 Z W 1 U e X B l P k Z v c m 1 1 b G E 8 L 0 l 0 Z W 1 U e X B l P j x J d G V t U G F 0 a D 5 T Z W N 0 a W 9 u M S 9 E Z X N p b n Z l c 3 R l c m l u Z y 9 L b 2 x v b W 1 l b i U y M H Z l c n d p a m R l c m Q x P C 9 J d G V t U G F 0 a D 4 8 L 0 l 0 Z W 1 M b 2 N h d G l v b j 4 8 U 3 R h Y m x l R W 5 0 c m l l c y 8 + P C 9 J d G V t P j x J d G V t P j x J d G V t T G 9 j Y X R p b 2 4 + P E l 0 Z W 1 U e X B l P k Z v c m 1 1 b G E 8 L 0 l 0 Z W 1 U e X B l P j x J d G V t U G F 0 a D 5 T Z W N 0 a W 9 u M S 9 E Z X N p b n Z l c 3 R l c m l u Z y 9 W b 2 x n b 3 J k Z S U y M H Z h b i U y M G t v b G 9 t b W V u J T I w Z 2 V 3 a W p 6 a W d k M T w v S X R l b V B h d G g + P C 9 J d G V t T G 9 j Y X R p b 2 4 + P F N 0 Y W J s Z U V u d H J p Z X M v P j w v S X R l b T 4 8 S X R l b T 4 8 S X R l b U x v Y 2 F 0 a W 9 u P j x J d G V t V H l w Z T 5 G b 3 J t d W x h P C 9 J d G V t V H l w Z T 4 8 S X R l b V B h d G g + U 2 V j d G l v b j E v T 2 1 6 Z X Q v Q n J v b j w v S X R l b V B h d G g + P C 9 J d G V t T G 9 j Y X R p b 2 4 + P F N 0 Y W J s Z U V u d H J p Z X M v P j w v S X R l b T 4 8 S X R l b T 4 8 S X R l b U x v Y 2 F 0 a W 9 u P j x J d G V t V H l w Z T 5 G b 3 J t d W x h P C 9 J d G V t V H l w Z T 4 8 S X R l b V B h d G g + U 2 V j d G l v b j E v T 2 1 6 Z X Q v Z G J v X 0 R l c 2 l u d m V z d G V y a W 5 n Z W 4 8 L 0 l 0 Z W 1 Q Y X R o P j w v S X R l b U x v Y 2 F 0 a W 9 u P j x T d G F i b G V F b n R y a W V z L z 4 8 L 0 l 0 Z W 0 + P E l 0 Z W 0 + P E l 0 Z W 1 M b 2 N h d G l v b j 4 8 S X R l b V R 5 c G U + R m 9 y b X V s Y T w v S X R l b V R 5 c G U + P E l 0 Z W 1 Q Y X R o P l N l Y 3 R p b 2 4 x L 0 9 t e m V 0 L 1 J p a m V u J T I w Z 2 V m a W x 0 Z X J k P C 9 J d G V t U G F 0 a D 4 8 L 0 l 0 Z W 1 M b 2 N h d G l v b j 4 8 U 3 R h Y m x l R W 5 0 c m l l c y 8 + P C 9 J d G V t P j x J d G V t P j x J d G V t T G 9 j Y X R p b 2 4 + P E l 0 Z W 1 U e X B l P k Z v c m 1 1 b G E 8 L 0 l 0 Z W 1 U e X B l P j x J d G V t U G F 0 a D 5 T Z W N 0 a W 9 u M S 9 P b X p l d C 9 L b 2 x v b W 1 l b i U y M H Z l c n d p a m R l c m Q 8 L 0 l 0 Z W 1 Q Y X R o P j w v S X R l b U x v Y 2 F 0 a W 9 u P j x T d G F i b G V F b n R y a W V z L z 4 8 L 0 l 0 Z W 0 + P E l 0 Z W 0 + P E l 0 Z W 1 M b 2 N h d G l v b j 4 8 S X R l b V R 5 c G U + R m 9 y b X V s Y T w v S X R l b V R 5 c G U + P E l 0 Z W 1 Q Y X R o P l N l Y 3 R p b 2 4 x L 0 9 t e m V 0 L 1 J p a m V u J T I w Z 2 V m a W x 0 Z X J k M T w v S X R l b V B h d G g + P C 9 J d G V t T G 9 j Y X R p b 2 4 + P F N 0 Y W J s Z U V u d H J p Z X M v P j w v S X R l b T 4 8 S X R l b T 4 8 S X R l b U x v Y 2 F 0 a W 9 u P j x J d G V t V H l w Z T 5 G b 3 J t d W x h P C 9 J d G V t V H l w Z T 4 8 S X R l b V B h d G g + U 2 V j d G l v b j E v T 2 1 6 Z X Q v S 2 9 s b 2 1 t Z W 4 l M j B 2 Z X J 3 a W p k Z X J k M T w v S X R l b V B h d G g + P C 9 J d G V t T G 9 j Y X R p b 2 4 + P F N 0 Y W J s Z U V u d H J p Z X M v P j w v S X R l b T 4 8 S X R l b T 4 8 S X R l b U x v Y 2 F 0 a W 9 u P j x J d G V t V H l w Z T 5 G b 3 J t d W x h P C 9 J d G V t V H l w Z T 4 8 S X R l b V B h d G g + U 2 V j d G l v b j E v V 1 V J J T J G T 2 1 i b 3 V 3 L 0 J y b 2 4 8 L 0 l 0 Z W 1 Q Y X R o P j w v S X R l b U x v Y 2 F 0 a W 9 u P j x T d G F i b G V F b n R y a W V z L z 4 8 L 0 l 0 Z W 0 + P E l 0 Z W 0 + P E l 0 Z W 1 M b 2 N h d G l v b j 4 8 S X R l b V R 5 c G U + R m 9 y b X V s Y T w v S X R l b V R 5 c G U + P E l 0 Z W 1 Q Y X R o P l N l Y 3 R p b 2 4 x L 1 d V S S U y R k 9 t Y m 9 1 d y 9 S R F 9 M T k J f R z w v S X R l b V B h d G g + P C 9 J d G V t T G 9 j Y X R p b 2 4 + P F N 0 Y W J s Z U V u d H J p Z X M v P j w v S X R l b T 4 8 S X R l b T 4 8 S X R l b U x v Y 2 F 0 a W 9 u P j x J d G V t V H l w Z T 5 G b 3 J t d W x h P C 9 J d G V t V H l w Z T 4 8 S X R l b V B h d G g + U 2 V j d G l v b j E v V 1 V J J T J G T 2 1 i b 3 V 3 L 2 R i b 1 9 J b n Z l c 3 R l c m l u Z 2 V u P C 9 J d G V t U G F 0 a D 4 8 L 0 l 0 Z W 1 M b 2 N h d G l v b j 4 8 U 3 R h Y m x l R W 5 0 c m l l c y 8 + P C 9 J d G V t P j x J d G V t P j x J d G V t T G 9 j Y X R p b 2 4 + P E l 0 Z W 1 U e X B l P k Z v c m 1 1 b G E 8 L 0 l 0 Z W 1 U e X B l P j x J d G V t U G F 0 a D 5 T Z W N 0 a W 9 u M S 9 X V U k l M k Z P b W J v d X c v S m F h c i U z R S U z R D I w M j A 8 L 0 l 0 Z W 1 Q Y X R o P j w v S X R l b U x v Y 2 F 0 a W 9 u P j x T d G F i b G V F b n R y a W V z L z 4 8 L 0 l 0 Z W 0 + P E l 0 Z W 0 + P E l 0 Z W 1 M b 2 N h d G l v b j 4 8 S X R l b V R 5 c G U + R m 9 y b X V s Y T w v S X R l b V R 5 c G U + P E l 0 Z W 1 Q Y X R o P l N l Y 3 R p b 2 4 x L 1 d V S S U y R k 9 t Y m 9 1 d y 9 S a W p l b i U y M G d l Z m l s d G V y Z D w v S X R l b V B h d G g + P C 9 J d G V t T G 9 j Y X R p b 2 4 + P F N 0 Y W J s Z U V u d H J p Z X M v P j w v S X R l b T 4 8 S X R l b T 4 8 S X R l b U x v Y 2 F 0 a W 9 u P j x J d G V t V H l w Z T 5 G b 3 J t d W x h P C 9 J d G V t V H l w Z T 4 8 S X R l b V B h d G g + U 2 V j d G l v b j E v V 1 V J J T J G T 2 1 i b 3 V 3 L 1 J p a m V u J T I w Z 2 V m a W x 0 Z X J k M T w v S X R l b V B h d G g + P C 9 J d G V t T G 9 j Y X R p b 2 4 + P F N 0 Y W J s Z U V u d H J p Z X M v P j w v S X R l b T 4 8 S X R l b T 4 8 S X R l b U x v Y 2 F 0 a W 9 u P j x J d G V t V H l w Z T 5 G b 3 J t d W x h P C 9 J d G V t V H l w Z T 4 8 S X R l b V B h d G g + U 2 V j d G l v b j E v V 1 V J J T J G T 2 1 i b 3 V 3 L 0 l u Z G V 4 J T I w d G 9 l Z 2 V 2 b 2 V n Z D w v S X R l b V B h d G g + P C 9 J d G V t T G 9 j Y X R p b 2 4 + P F N 0 Y W J s Z U V u d H J p Z X M v P j w v S X R l b T 4 8 S X R l b T 4 8 S X R l b U x v Y 2 F 0 a W 9 u P j x J d G V t V H l w Z T 5 G b 3 J t d W x h P C 9 J d G V t V H l w Z T 4 8 S X R l b V B h d G g + U 2 V j d G l v b j E v V 1 V J J T J G T 2 1 i b 3 V 3 L 1 Z v b G d v c m R l J T I w d m F u J T I w a 2 9 s b 2 1 t Z W 4 l M j B n Z X d p a n p p Z 2 Q 8 L 0 l 0 Z W 1 Q Y X R o P j w v S X R l b U x v Y 2 F 0 a W 9 u P j x T d G F i b G V F b n R y a W V z L z 4 8 L 0 l 0 Z W 0 + P E l 0 Z W 0 + P E l 0 Z W 1 M b 2 N h d G l v b j 4 8 S X R l b V R 5 c G U + R m 9 y b X V s Y T w v S X R l b V R 5 c G U + P E l 0 Z W 1 Q Y X R o P l N l Y 3 R p b 2 4 x L 1 d V S S U y R k 9 t Y m 9 1 d y 9 L b 2 x v b W 1 l b i U y M H Z l c n d p a m R l c m Q 8 L 0 l 0 Z W 1 Q Y X R o P j w v S X R l b U x v Y 2 F 0 a W 9 u P j x T d G F i b G V F b n R y a W V z L z 4 8 L 0 l 0 Z W 0 + P E l 0 Z W 0 + P E l 0 Z W 1 M b 2 N h d G l v b j 4 8 S X R l b V R 5 c G U + R m 9 y b X V s Y T w v S X R l b V R 5 c G U + P E l 0 Z W 1 Q Y X R o P l N l Y 3 R p b 2 4 x L 0 9 w Z X J h d G l v b m V s Z S U y M G t v c 3 R l b i 9 C c m 9 u P C 9 J d G V t U G F 0 a D 4 8 L 0 l 0 Z W 1 M b 2 N h d G l v b j 4 8 U 3 R h Y m x l R W 5 0 c m l l c y 8 + P C 9 J d G V t P j x J d G V t P j x J d G V t T G 9 j Y X R p b 2 4 + P E l 0 Z W 1 U e X B l P k Z v c m 1 1 b G E 8 L 0 l 0 Z W 1 U e X B l P j x J d G V t U G F 0 a D 5 T Z W N 0 a W 9 u M S 9 P c G V y Y X R p b 2 5 l b G U l M j B r b 3 N 0 Z W 4 v U k R f T E 5 C X 0 c 8 L 0 l 0 Z W 1 Q Y X R o P j w v S X R l b U x v Y 2 F 0 a W 9 u P j x T d G F i b G V F b n R y a W V z L z 4 8 L 0 l 0 Z W 0 + P E l 0 Z W 0 + P E l 0 Z W 1 M b 2 N h d G l v b j 4 8 S X R l b V R 5 c G U + R m 9 y b X V s Y T w v S X R l b V R 5 c G U + P E l 0 Z W 1 Q Y X R o P l N l Y 3 R p b 2 4 x L 0 9 w Z X J h d G l v b m V s Z S U y M G t v c 3 R l b i 9 k Y m 9 f T 3 B l c m F 0 a W 9 u Z W x l J T I w a 2 9 z d G V u P C 9 J d G V t U G F 0 a D 4 8 L 0 l 0 Z W 1 M b 2 N h d G l v b j 4 8 U 3 R h Y m x l R W 5 0 c m l l c y 8 + P C 9 J d G V t P j x J d G V t P j x J d G V t T G 9 j Y X R p b 2 4 + P E l 0 Z W 1 U e X B l P k Z v c m 1 1 b G E 8 L 0 l 0 Z W 1 U e X B l P j x J d G V t U G F 0 a D 5 T Z W N 0 a W 9 u M S 9 P c G V y Y X R p b 2 5 l b G U l M j B r b 3 N 0 Z W 4 v S 2 9 s b 2 1 t Z W 4 l M j B 2 Z X J 3 a W p k Z X J k P C 9 J d G V t U G F 0 a D 4 8 L 0 l 0 Z W 1 M b 2 N h d G l v b j 4 8 U 3 R h Y m x l R W 5 0 c m l l c y 8 + P C 9 J d G V t P j x J d G V t P j x J d G V t T G 9 j Y X R p b 2 4 + P E l 0 Z W 1 U e X B l P k Z v c m 1 1 b G E 8 L 0 l 0 Z W 1 U e X B l P j x J d G V t U G F 0 a D 5 T Z W N 0 a W 9 u M S 9 J b n Z l c 3 R l c m l u Z 2 V u L 0 F h b m d l c G F z d D E 8 L 0 l 0 Z W 1 Q Y X R o P j w v S X R l b U x v Y 2 F 0 a W 9 u P j x T d G F i b G V F b n R y a W V z L z 4 8 L 0 l 0 Z W 0 + P E l 0 Z W 0 + P E l 0 Z W 1 M b 2 N h d G l v b j 4 8 S X R l b V R 5 c G U + R m 9 y b X V s Y T w v S X R l b V R 5 c G U + P E l 0 Z W 1 Q Y X R o P l N l Y 3 R p b 2 4 x L 0 l u d m V z d G V y a W 5 n Z W 4 v Q W F u Z 2 V w Y X N 0 M j w v S X R l b V B h d G g + P C 9 J d G V t T G 9 j Y X R p b 2 4 + P F N 0 Y W J s Z U V u d H J p Z X M v P j w v S X R l b T 4 8 S X R l b T 4 8 S X R l b U x v Y 2 F 0 a W 9 u P j x J d G V t V H l w Z T 5 G b 3 J t d W x h P C 9 J d G V t V H l w Z T 4 8 S X R l b V B h d G g + U 2 V j d G l v b j E v T 3 B l c m F 0 a W 9 u Z W x l J T I w a 2 9 z d G V u L 1 J p a m V u J T I w Z 2 V m a W x 0 Z X J k P C 9 J d G V t U G F 0 a D 4 8 L 0 l 0 Z W 1 M b 2 N h d G l v b j 4 8 U 3 R h Y m x l R W 5 0 c m l l c y 8 + P C 9 J d G V t P j x J d G V t P j x J d G V t T G 9 j Y X R p b 2 4 + P E l 0 Z W 1 U e X B l P k Z v c m 1 1 b G E 8 L 0 l 0 Z W 1 U e X B l P j x J d G V t U G F 0 a D 5 T Z W N 0 a W 9 u M S 9 J b n Z l c 3 R l c m l u Z 2 V u L 0 F h b m d l c G F z d D M 8 L 0 l 0 Z W 1 Q Y X R o P j w v S X R l b U x v Y 2 F 0 a W 9 u P j x T d G F i b G V F b n R y a W V z L z 4 8 L 0 l 0 Z W 0 + P E l 0 Z W 0 + P E l 0 Z W 1 M b 2 N h d G l v b j 4 8 S X R l b V R 5 c G U + R m 9 y b X V s Y T w v S X R l b V R 5 c G U + P E l 0 Z W 1 Q Y X R o P l N l Y 3 R p b 2 4 x L 1 d V S S U y R k 9 t Y m 9 1 d y 9 B Y W 5 n Z X B h c 3 Q x P C 9 J d G V t U G F 0 a D 4 8 L 0 l 0 Z W 1 M b 2 N h d G l v b j 4 8 U 3 R h Y m x l R W 5 0 c m l l c y 8 + P C 9 J d G V t P j x J d G V t P j x J d G V t T G 9 j Y X R p b 2 4 + P E l 0 Z W 1 U e X B l P k Z v c m 1 1 b G E 8 L 0 l 0 Z W 1 U e X B l P j x J d G V t U G F 0 a D 5 T Z W N 0 a W 9 u M S 9 E Z X N p b n Z l c 3 R l c m l u Z y 9 B Y W 5 n Z X B h c 3 Q x P C 9 J d G V t U G F 0 a D 4 8 L 0 l 0 Z W 1 M b 2 N h d G l v b j 4 8 U 3 R h Y m x l R W 5 0 c m l l c y 8 + P C 9 J d G V t P j x J d G V t P j x J d G V t T G 9 j Y X R p b 2 4 + P E l 0 Z W 1 U e X B l P k Z v c m 1 1 b G E 8 L 0 l 0 Z W 1 U e X B l P j x J d G V t U G F 0 a D 5 T Z W N 0 a W 9 u M S 9 E Z X N p b n Z l c 3 R l c m l u Z y 9 B Y W 5 n Z X B h c 3 Q y P C 9 J d G V t U G F 0 a D 4 8 L 0 l 0 Z W 1 M b 2 N h d G l v b j 4 8 U 3 R h Y m x l R W 5 0 c m l l c y 8 + P C 9 J d G V t P j x J d G V t P j x J d G V t T G 9 j Y X R p b 2 4 + P E l 0 Z W 1 U e X B l P k Z v c m 1 1 b G E 8 L 0 l 0 Z W 1 U e X B l P j x J d G V t U G F 0 a D 5 T Z W N 0 a W 9 u M S 9 P c G V y Y X R p b 2 5 l b G U l M j B r b 3 N 0 Z W 4 v Q W F u Z 2 V w Y X N 0 M T w v S X R l b V B h d G g + P C 9 J d G V t T G 9 j Y X R p b 2 4 + P F N 0 Y W J s Z U V u d H J p Z X M v P j w v S X R l b T 4 8 S X R l b T 4 8 S X R l b U x v Y 2 F 0 a W 9 u P j x J d G V t V H l w Z T 5 G b 3 J t d W x h P C 9 J d G V t V H l w Z T 4 8 S X R l b V B h d G g + U 2 V j d G l v b j E v V 1 V J J T J G T 2 1 i b 3 V 3 L 0 F h b m d l c G F z d D I 8 L 0 l 0 Z W 1 Q Y X R o P j w v S X R l b U x v Y 2 F 0 a W 9 u P j x T d G F i b G V F b n R y a W V z L z 4 8 L 0 l 0 Z W 0 + P E l 0 Z W 0 + P E l 0 Z W 1 M b 2 N h d G l v b j 4 8 S X R l b V R 5 c G U + R m 9 y b X V s Y T w v S X R l b V R 5 c G U + P E l 0 Z W 1 Q Y X R o P l N l Y 3 R p b 2 4 x L 1 d V S S U y R k 9 t Y m 9 1 d y 9 B Y W 5 n Z X B h c 3 Q z P C 9 J d G V t U G F 0 a D 4 8 L 0 l 0 Z W 1 M b 2 N h d G l v b j 4 8 U 3 R h Y m x l R W 5 0 c m l l c y 8 + P C 9 J d G V t P j x J d G V t P j x J d G V t T G 9 j Y X R p b 2 4 + P E l 0 Z W 1 U e X B l P k Z v c m 1 1 b G E 8 L 0 l 0 Z W 1 U e X B l P j x J d G V t U G F 0 a D 5 T Z W N 0 a W 9 u M S 9 X V U k l M k Z P b W J v d X c v Q W F u Z 2 V w Y X N 0 N 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A + K U i 1 S i z U C T I D 5 V V C a u e w A A A A A C A A A A A A A D Z g A A w A A A A B A A A A B 0 G 5 i x f 4 r o w 7 6 m q P e T L C d F A A A A A A S A A A C g A A A A E A A A A K i E 8 l z t a 0 H V a I 7 y Z / p e m w 9 Q A A A A S X H w P q O V J R j e A 0 p D B R + U N h v 9 b V i u U 7 f w o B B V 0 s 1 2 Q 2 c / R c I v f E U x t 9 R F A 8 X E P J e 7 P E X A t c W Q i / 9 n G I v u L F B e 3 m J o / 1 + r 1 f w U 4 i u L d o o A z J 4 U A A A A J W j 9 F 5 O u 9 e 0 a U + 6 1 o D d 5 T P b + U X M = < / D a t a M a s h u p > 
</file>

<file path=customXml/item4.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VYM6E4WDAQJW-1804863118-260</_dlc_DocId>
    <_dlc_DocIdUrl xmlns="0009d3ae-0f9e-47be-ae31-9d6cd8b104c4">
      <Url>https://gasunie.sharepoint.com/sites/20190841/_layouts/15/DocIdRedir.aspx?ID=VYM6E4WDAQJW-1804863118-260</Url>
      <Description>VYM6E4WDAQJW-1804863118-260</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2.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3.xml><?xml version="1.0" encoding="utf-8"?>
<ds:datastoreItem xmlns:ds="http://schemas.openxmlformats.org/officeDocument/2006/customXml" ds:itemID="{3CCC0C11-BCA0-40B0-A1EB-00F8BE4AEEA8}">
  <ds:schemaRefs>
    <ds:schemaRef ds:uri="http://schemas.microsoft.com/DataMashup"/>
  </ds:schemaRefs>
</ds:datastoreItem>
</file>

<file path=customXml/itemProps4.xml><?xml version="1.0" encoding="utf-8"?>
<ds:datastoreItem xmlns:ds="http://schemas.openxmlformats.org/officeDocument/2006/customXml" ds:itemID="{9CDAB9D1-B815-4B0E-93E7-4496A7FE99F6}">
  <ds:schemaRefs>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elements/1.1/"/>
    <ds:schemaRef ds:uri="0fe009b9-6f2d-4e7b-85d5-274f575a555c"/>
    <ds:schemaRef ds:uri="http://www.w3.org/XML/1998/namespace"/>
    <ds:schemaRef ds:uri="http://schemas.openxmlformats.org/package/2006/metadata/core-properties"/>
    <ds:schemaRef ds:uri="0009d3ae-0f9e-47be-ae31-9d6cd8b104c4"/>
    <ds:schemaRef ds:uri="http://purl.org/dc/terms/"/>
  </ds:schemaRefs>
</ds:datastoreItem>
</file>

<file path=customXml/itemProps5.xml><?xml version="1.0" encoding="utf-8"?>
<ds:datastoreItem xmlns:ds="http://schemas.openxmlformats.org/officeDocument/2006/customXml" ds:itemID="{8DE23338-07DD-4959-8F33-195298A5D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fe009b9-6f2d-4e7b-85d5-274f575a5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Charge summary</vt:lpstr>
      <vt:lpstr>Input --&gt;</vt:lpstr>
      <vt:lpstr>2. Parameters</vt:lpstr>
      <vt:lpstr>3. Input corrections</vt:lpstr>
      <vt:lpstr>4. Input capacity</vt:lpstr>
      <vt:lpstr>Calculations --&gt;</vt:lpstr>
      <vt:lpstr>5. Corrections</vt:lpstr>
      <vt:lpstr>6. Allowed revenues</vt:lpstr>
      <vt:lpstr>7. RPM</vt:lpstr>
      <vt:lpstr>8. Entry and exit charges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2026-05-29T09:09:37Z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6cc3475d-10b1-48b1-83bf-3b5c3a5b1064</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